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1.xml" ContentType="application/vnd.openxmlformats-officedocument.spreadsheetml.comments+xml"/>
  <Override PartName="/xl/drawings/drawing7.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DATA\PRIZNANI\TODO\ROZPRACOVANE\"/>
    </mc:Choice>
  </mc:AlternateContent>
  <xr:revisionPtr revIDLastSave="0" documentId="13_ncr:1_{9C6AB924-5BF1-4A27-AD77-F07FE10C70D5}" xr6:coauthVersionLast="47" xr6:coauthVersionMax="47" xr10:uidLastSave="{00000000-0000-0000-0000-000000000000}"/>
  <bookViews>
    <workbookView xWindow="-120" yWindow="-120" windowWidth="29040" windowHeight="15720" tabRatio="889" firstSheet="2" activeTab="2" xr2:uid="{00000000-000D-0000-FFFF-FFFF00000000}"/>
  </bookViews>
  <sheets>
    <sheet name="FU" sheetId="61" state="hidden" r:id="rId1"/>
    <sheet name="XML export" sheetId="62" state="hidden" r:id="rId2"/>
    <sheet name="UVOD" sheetId="82" r:id="rId3"/>
    <sheet name="XML_export" sheetId="80" r:id="rId4"/>
    <sheet name="Moje daně" sheetId="81" r:id="rId5"/>
    <sheet name="ZAKL_DATA" sheetId="57"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4Př" sheetId="77" r:id="rId16"/>
    <sheet name="3Př_a" sheetId="54" r:id="rId17"/>
    <sheet name="6Př" sheetId="53" r:id="rId18"/>
    <sheet name="Př_b" sheetId="55" r:id="rId19"/>
    <sheet name="Příl_děti" sheetId="79" r:id="rId20"/>
    <sheet name="Potvr_ZAM" sheetId="66" r:id="rId21"/>
    <sheet name="Prohl_manž" sheetId="67" r:id="rId22"/>
    <sheet name="SP1" sheetId="73" r:id="rId23"/>
    <sheet name="SP2" sheetId="74" r:id="rId24"/>
    <sheet name="SP_zam" sheetId="68" r:id="rId25"/>
    <sheet name="SP_stud" sheetId="69" r:id="rId26"/>
    <sheet name="SP_prijem" sheetId="70" r:id="rId27"/>
    <sheet name="VZP" sheetId="85" r:id="rId28"/>
    <sheet name="Ostatní ZP" sheetId="86" r:id="rId29"/>
    <sheet name="Zálohy" sheetId="78" r:id="rId30"/>
    <sheet name="Účetní_závěrka" sheetId="64" r:id="rId31"/>
    <sheet name="Přenos_CSSZ" sheetId="83" r:id="rId32"/>
    <sheet name="CSSZ" sheetId="84" state="hidden"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xlnm._FilterDatabase" localSheetId="29" hidden="1">Zálohy!$G$8:$G$51</definedName>
    <definedName name="fin_ur" localSheetId="15">[1]FU!$B$3:$B$17</definedName>
    <definedName name="fin_ur" localSheetId="32">[2]FU!$B$3:$B$17</definedName>
    <definedName name="fin_ur" localSheetId="4">[3]FU!$B$3:$B$17</definedName>
    <definedName name="fin_ur" localSheetId="20">[4]FU!$B$3:$B$17</definedName>
    <definedName name="fin_ur" localSheetId="21">[4]FU!$B$3:$B$17</definedName>
    <definedName name="fin_ur" localSheetId="31">[5]FU!$B$3:$B$17</definedName>
    <definedName name="fin_ur" localSheetId="19">[6]FU!$B$3:$B$17</definedName>
    <definedName name="fin_ur" localSheetId="26">[7]FU!$B$3:$B$17</definedName>
    <definedName name="fin_ur" localSheetId="30">[8]FU!$B$3:$B$17</definedName>
    <definedName name="fin_ur" localSheetId="2">[9]FU!$B$3:$B$17</definedName>
    <definedName name="fin_ur" localSheetId="3">[3]FU!$B$3:$B$17</definedName>
    <definedName name="fin_ur" localSheetId="29">[1]FU!$B$3:$B$17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daně'!$A$1:$B$29</definedName>
    <definedName name="_xlnm.Print_Area" localSheetId="28">'Ostatní ZP'!$A$1:$BG$67</definedName>
    <definedName name="_xlnm.Print_Area" localSheetId="20">Potvr_ZAM!$A$1:$G$52</definedName>
    <definedName name="_xlnm.Print_Area" localSheetId="21">Prohl_manž!$A$1:$E$24</definedName>
    <definedName name="_xlnm.Print_Area" localSheetId="18">Př_b!$A$1:$F$36</definedName>
    <definedName name="_xlnm.Print_Area" localSheetId="31">Přenos_CSSZ!$A$6:$P$67</definedName>
    <definedName name="_xlnm.Print_Area" localSheetId="19">Příl_děti!$A$1:$K$15</definedName>
    <definedName name="_xlnm.Print_Area" localSheetId="26">SP_prijem!$A$1:$I$53</definedName>
    <definedName name="_xlnm.Print_Area" localSheetId="25">SP_stud!$A$1:$AE$29</definedName>
    <definedName name="_xlnm.Print_Area" localSheetId="24">SP_zam!$A$1:$AE$30</definedName>
    <definedName name="_xlnm.Print_Area" localSheetId="22">'SP1'!$A$1:$AF$73</definedName>
    <definedName name="_xlnm.Print_Area" localSheetId="23">'SP2'!$A$1:$AO$61</definedName>
    <definedName name="_xlnm.Print_Area" localSheetId="30">Účetní_závěrka!$B$1:$L$148</definedName>
    <definedName name="_xlnm.Print_Area" localSheetId="2">UVOD!$A$1:$J$26</definedName>
    <definedName name="_xlnm.Print_Area" localSheetId="27">VZP!$A$1:$BG$67</definedName>
    <definedName name="_xlnm.Print_Area" localSheetId="3">XML_export!$A$1:$B$26</definedName>
    <definedName name="_xlnm.Print_Area" localSheetId="5">ZAKL_DATA!$A$1:$E$42</definedName>
    <definedName name="_xlnm.Print_Area" localSheetId="29">Zálohy!$A$1:$E$51</definedName>
    <definedName name="_xlnm.Print_Area" localSheetId="10">ZAV!$A$2:$C$49</definedName>
    <definedName name="staty" localSheetId="15">[1]FU!$J$3:$J$253</definedName>
    <definedName name="staty" localSheetId="32">[2]FU!$J$3:$J$253</definedName>
    <definedName name="staty" localSheetId="4">[3]FU!$J$3:$J$253</definedName>
    <definedName name="staty" localSheetId="20">[4]FU!$J$3:$J$253</definedName>
    <definedName name="staty" localSheetId="21">[4]FU!$J$3:$J$253</definedName>
    <definedName name="staty" localSheetId="31">[5]FU!$J$3:$J$253</definedName>
    <definedName name="staty" localSheetId="19">[6]FU!$J$3:$J$253</definedName>
    <definedName name="staty" localSheetId="26">[7]FU!$J$3:$J$253</definedName>
    <definedName name="staty" localSheetId="30">[8]FU!$J$3:$J$253</definedName>
    <definedName name="staty" localSheetId="2">[9]FU!$J$3:$J$253</definedName>
    <definedName name="staty" localSheetId="3">[3]FU!$J$3:$J$253</definedName>
    <definedName name="staty" localSheetId="29">[1]FU!$J$3:$J$253</definedName>
    <definedName name="staty">FU!$J$3:$J$253</definedName>
    <definedName name="validation_list">OFFSET('[10]Obory činnosti'!$E$2,,,COUNTIF('[10]Obory činnosti'!$E$2:$E$1750,"?*"))</definedName>
    <definedName name="Validation_list_OSSZ">CSSZ!$A$1:$A$89</definedName>
    <definedName name="validation_list2" localSheetId="15">OFFSET([1]FU!$H$3,,,COUNTIF([1]FU!$H$3:$H$204,"?*"))</definedName>
    <definedName name="validation_list2" localSheetId="32">OFFSET([2]FU!$H$3,,,COUNTIF([2]FU!$H$3:$H$204,"?*"))</definedName>
    <definedName name="validation_list2" localSheetId="4">OFFSET('[11]Finanční úřady'!$H$3,,,COUNTIF('[11]Finanční úřady'!$H$3:$H$204,"?*"))</definedName>
    <definedName name="validation_list2" localSheetId="20">OFFSET([4]FU!$H$3,,,COUNTIF([4]FU!$H$3:$H$204,"?*"))</definedName>
    <definedName name="validation_list2" localSheetId="21">OFFSET([4]FU!$H$3,,,COUNTIF([4]FU!$H$3:$H$204,"?*"))</definedName>
    <definedName name="validation_list2" localSheetId="31">OFFSET([5]FU!$H$3,,,COUNTIF([5]FU!$H$3:$H$204,"?*"))</definedName>
    <definedName name="validation_list2" localSheetId="19">OFFSET([6]FU!$H$3,,,COUNTIF([6]FU!$H$3:$H$204,"?*"))</definedName>
    <definedName name="validation_list2" localSheetId="26">OFFSET([7]FU!$H$3,,,COUNTIF([7]FU!$H$3:$H$204,"?*"))</definedName>
    <definedName name="validation_list2" localSheetId="30">OFFSET([8]FU!$H$3,,,COUNTIF([8]FU!$H$3:$H$204,"?*"))</definedName>
    <definedName name="validation_list2" localSheetId="2">OFFSET([9]FU!$H$3,,,COUNTIF([9]FU!$H$3:$H$204,"?*"))</definedName>
    <definedName name="validation_list2" localSheetId="3">OFFSET('[11]Finanční úřady'!$H$3,,,COUNTIF('[11]Finanční úřady'!$H$3:$H$204,"?*"))</definedName>
    <definedName name="validation_list2" localSheetId="29">OFFSET([1]FU!$H$3,,,COUNTIF([1]FU!$H$3:$H$204,"?*"))</definedName>
    <definedName name="validation_list2">OFFSET(FU!$H$3,,,COUNTIF(FU!$H$3:$H$204,"?*"))</definedName>
    <definedName name="vl_cinnosti" localSheetId="15">OFFSET([1]FU!$Q$3,,,COUNTIF([1]FU!$Q$3:$Q$1699,"?*"))</definedName>
    <definedName name="vl_cinnosti" localSheetId="32">OFFSET([2]FU!$Q$3,,,COUNTIF([2]FU!$Q$3:$Q$1699,"?*"))</definedName>
    <definedName name="vl_cinnosti" localSheetId="4">OFFSET([3]FU!$Q$3,,,COUNTIF([3]FU!$Q$3:$Q$1699,"?*"))</definedName>
    <definedName name="vl_cinnosti" localSheetId="20">OFFSET([4]FU!$Q$3,,,COUNTIF([4]FU!$Q$3:$Q$1699,"?*"))</definedName>
    <definedName name="vl_cinnosti" localSheetId="21">OFFSET([4]FU!$Q$3,,,COUNTIF([4]FU!$Q$3:$Q$1699,"?*"))</definedName>
    <definedName name="vl_cinnosti" localSheetId="31">OFFSET([5]FU!$Q$3,,,COUNTIF([5]FU!$Q$3:$Q$1699,"?*"))</definedName>
    <definedName name="vl_cinnosti" localSheetId="19">OFFSET([6]FU!$Q$3,,,COUNTIF([6]FU!$Q$3:$Q$1699,"?*"))</definedName>
    <definedName name="vl_cinnosti" localSheetId="26">OFFSET([7]FU!$Q$3,,,COUNTIF([7]FU!$Q$3:$Q$1699,"?*"))</definedName>
    <definedName name="vl_cinnosti" localSheetId="30">OFFSET([8]FU!$Q$3,,,COUNTIF([8]FU!$Q$3:$Q$1699,"?*"))</definedName>
    <definedName name="vl_cinnosti" localSheetId="2">OFFSET([9]FU!$Q$3,,,COUNTIF([9]FU!$Q$3:$Q$1699,"?*"))</definedName>
    <definedName name="vl_cinnosti" localSheetId="3">OFFSET([3]FU!$Q$3,,,COUNTIF([3]FU!$Q$3:$Q$1699,"?*"))</definedName>
    <definedName name="vl_cinnosti" localSheetId="29">OFFSET([1]FU!$Q$3,,,COUNTIF([1]FU!$Q$3:$Q$1699,"?*"))</definedName>
    <definedName name="vl_cinnosti">OFFSET(FU!$Q$3,,,COUNTIF(FU!$Q$3:$Q$1425,"?*"))</definedName>
    <definedName name="vl_cinnosti2" localSheetId="15">OFFSET([1]FU!$Q$3,,,COUNTIF([1]FU!$T$3:$T$992,"?*"))</definedName>
    <definedName name="vl_cinnosti2" localSheetId="32">OFFSET([2]FU!$Q$3,,,COUNTIF([2]FU!$T$3:$T$992,"?*"))</definedName>
    <definedName name="vl_cinnosti2" localSheetId="20">OFFSET([4]FU!$Q$3,,,COUNTIF([4]FU!$T$3:$T$992,"?*"))</definedName>
    <definedName name="vl_cinnosti2" localSheetId="21">OFFSET([4]FU!$Q$3,,,COUNTIF([4]FU!$T$3:$T$992,"?*"))</definedName>
    <definedName name="vl_cinnosti2" localSheetId="31">OFFSET([5]FU!$Q$3,,,COUNTIF([5]FU!$T$3:$T$992,"?*"))</definedName>
    <definedName name="vl_cinnosti2" localSheetId="19">OFFSET([6]FU!$Q$3,,,COUNTIF([6]FU!$T$3:$T$992,"?*"))</definedName>
    <definedName name="vl_cinnosti2" localSheetId="26">OFFSET([7]FU!$Q$3,,,COUNTIF([7]FU!$T$3:$T$992,"?*"))</definedName>
    <definedName name="vl_cinnosti2" localSheetId="2">OFFSET([9]FU!$Q$3,,,COUNTIF([9]FU!$T$3:$T$992,"?*"))</definedName>
    <definedName name="vl_cinnosti2" localSheetId="29">OFFSET([1]FU!$Q$3,,,COUNTIF([1]FU!$T$3:$T$992,"?*"))</definedName>
    <definedName name="vl_cinnosti2">OFFSET(FU!$Q$3,,,COUNTIF(FU!$T$3:$T$718,"?*"))</definedName>
    <definedName name="vl_cinnosti3" localSheetId="15">OFFSET([1]FU!$Q$3,,,COUNTIF([1]FU!$W$3:$W$992,"?*"))</definedName>
    <definedName name="vl_cinnosti3" localSheetId="32">OFFSET([2]FU!$Q$3,,,COUNTIF([2]FU!$W$3:$W$992,"?*"))</definedName>
    <definedName name="vl_cinnosti3" localSheetId="20">OFFSET([4]FU!$Q$3,,,COUNTIF([4]FU!$W$3:$W$992,"?*"))</definedName>
    <definedName name="vl_cinnosti3" localSheetId="21">OFFSET([4]FU!$Q$3,,,COUNTIF([4]FU!$W$3:$W$992,"?*"))</definedName>
    <definedName name="vl_cinnosti3" localSheetId="31">OFFSET([5]FU!$Q$3,,,COUNTIF([5]FU!$W$3:$W$992,"?*"))</definedName>
    <definedName name="vl_cinnosti3" localSheetId="19">OFFSET([6]FU!$Q$3,,,COUNTIF([6]FU!$W$3:$W$992,"?*"))</definedName>
    <definedName name="vl_cinnosti3" localSheetId="26">OFFSET([7]FU!$Q$3,,,COUNTIF([7]FU!$W$3:$W$992,"?*"))</definedName>
    <definedName name="vl_cinnosti3" localSheetId="2">OFFSET([9]FU!$Q$3,,,COUNTIF([9]FU!$W$3:$W$992,"?*"))</definedName>
    <definedName name="vl_cinnosti3" localSheetId="29">OFFSET([1]FU!$Q$3,,,COUNTIF([1]FU!$W$3:$W$992,"?*"))</definedName>
    <definedName name="vl_cinnosti3">OFFSET(FU!$Q$3,,,COUNTIF(FU!$W$3:$W$718,"?*"))</definedName>
    <definedName name="vl_cinnosti4" localSheetId="15">OFFSET([1]FU!$Q$3,,,COUNTIF([1]FU!$Z$3:$Z$992,"?*"))</definedName>
    <definedName name="vl_cinnosti4" localSheetId="32">OFFSET([2]FU!$Q$3,,,COUNTIF([2]FU!$Z$3:$Z$992,"?*"))</definedName>
    <definedName name="vl_cinnosti4" localSheetId="20">OFFSET([4]FU!$Q$3,,,COUNTIF([4]FU!$Z$3:$Z$992,"?*"))</definedName>
    <definedName name="vl_cinnosti4" localSheetId="21">OFFSET([4]FU!$Q$3,,,COUNTIF([4]FU!$Z$3:$Z$992,"?*"))</definedName>
    <definedName name="vl_cinnosti4" localSheetId="31">OFFSET([5]FU!$Q$3,,,COUNTIF([5]FU!$Z$3:$Z$992,"?*"))</definedName>
    <definedName name="vl_cinnosti4" localSheetId="19">OFFSET([6]FU!$Q$3,,,COUNTIF([6]FU!$Z$3:$Z$992,"?*"))</definedName>
    <definedName name="vl_cinnosti4" localSheetId="26">OFFSET([7]FU!$Q$3,,,COUNTIF([7]FU!$Z$3:$Z$992,"?*"))</definedName>
    <definedName name="vl_cinnosti4" localSheetId="2">OFFSET([9]FU!$Q$3,,,COUNTIF([9]FU!$Z$3:$Z$992,"?*"))</definedName>
    <definedName name="vl_cinnosti4" localSheetId="29">OFFSET([1]FU!$Q$3,,,COUNTIF([1]FU!$Z$3:$Z$992,"?*"))</definedName>
    <definedName name="vl_cinnosti4">OFFSET(FU!$Q$3,,,COUNTIF(FU!$Z$3:$Z$718,"?*"))</definedName>
    <definedName name="VL_Obec">OFFSET([12]FU!$T$3,,,COUNTIF([12]FU!$T$3:$T$6255,"?*"))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1" l="1"/>
  <c r="E11" i="78"/>
  <c r="E10" i="78"/>
  <c r="A66" i="86"/>
  <c r="A66" i="85"/>
  <c r="U38" i="85"/>
  <c r="L36" i="85"/>
  <c r="AU51" i="85" s="1"/>
  <c r="AX54" i="85" s="1"/>
  <c r="U38" i="86"/>
  <c r="L36" i="86"/>
  <c r="AU51" i="86" s="1"/>
  <c r="AW13" i="86"/>
  <c r="AW13" i="85"/>
  <c r="A67" i="85"/>
  <c r="A19" i="85"/>
  <c r="AW17" i="85"/>
  <c r="A17" i="85"/>
  <c r="AW15" i="85"/>
  <c r="J15" i="85"/>
  <c r="A15" i="85"/>
  <c r="AL13" i="85"/>
  <c r="A13" i="85"/>
  <c r="BC11" i="85"/>
  <c r="AL11" i="85"/>
  <c r="A11" i="85"/>
  <c r="A67" i="86"/>
  <c r="A19" i="86"/>
  <c r="AW17" i="86"/>
  <c r="A17" i="86"/>
  <c r="AW15" i="86"/>
  <c r="J15" i="86"/>
  <c r="A15" i="86"/>
  <c r="AL13" i="86"/>
  <c r="A13" i="86"/>
  <c r="BC11" i="86"/>
  <c r="AL11" i="86"/>
  <c r="A11" i="86"/>
  <c r="V63" i="86"/>
  <c r="AX54" i="86"/>
  <c r="BZ30" i="86"/>
  <c r="BY30" i="86"/>
  <c r="BX30" i="86"/>
  <c r="BW30" i="86"/>
  <c r="BV30" i="86"/>
  <c r="BU30" i="86"/>
  <c r="BT30" i="86"/>
  <c r="BS30" i="86"/>
  <c r="BR30" i="86"/>
  <c r="BQ30" i="86"/>
  <c r="BP30" i="86"/>
  <c r="BO30" i="86"/>
  <c r="BN30" i="86"/>
  <c r="CA30" i="86" s="1"/>
  <c r="U44" i="86" s="1"/>
  <c r="L47" i="86" s="1"/>
  <c r="V63" i="85"/>
  <c r="BZ30" i="85"/>
  <c r="BY30" i="85"/>
  <c r="BX30" i="85"/>
  <c r="BW30" i="85"/>
  <c r="BV30" i="85"/>
  <c r="BU30" i="85"/>
  <c r="BT30" i="85"/>
  <c r="BS30" i="85"/>
  <c r="BR30" i="85"/>
  <c r="BQ30" i="85"/>
  <c r="BP30" i="85"/>
  <c r="BO30" i="85"/>
  <c r="CA30" i="85" s="1"/>
  <c r="U44" i="85" s="1"/>
  <c r="L47" i="85" s="1"/>
  <c r="BN30" i="85"/>
  <c r="B17" i="81"/>
  <c r="AE22" i="73"/>
  <c r="P24" i="83" s="1"/>
  <c r="AE20" i="73"/>
  <c r="P23" i="83" s="1"/>
  <c r="D66" i="83"/>
  <c r="D65" i="83"/>
  <c r="D64" i="83"/>
  <c r="H63" i="83"/>
  <c r="G63" i="83"/>
  <c r="F63" i="83"/>
  <c r="E63" i="83"/>
  <c r="D63" i="83"/>
  <c r="H62" i="83"/>
  <c r="G62" i="83"/>
  <c r="F62" i="83"/>
  <c r="E62" i="83"/>
  <c r="D62" i="83"/>
  <c r="E61" i="83"/>
  <c r="D61" i="83"/>
  <c r="E60" i="83"/>
  <c r="D60" i="83"/>
  <c r="E59" i="83"/>
  <c r="D59" i="83"/>
  <c r="K58" i="83"/>
  <c r="J58" i="83"/>
  <c r="I58" i="83"/>
  <c r="H58" i="83"/>
  <c r="G58" i="83"/>
  <c r="F58" i="83"/>
  <c r="E58" i="83"/>
  <c r="D58" i="83"/>
  <c r="I57" i="83"/>
  <c r="H57" i="83"/>
  <c r="G57" i="83"/>
  <c r="F57" i="83"/>
  <c r="E57" i="83"/>
  <c r="D57" i="83"/>
  <c r="J56" i="83"/>
  <c r="I56" i="83"/>
  <c r="H56" i="83"/>
  <c r="G56" i="83"/>
  <c r="F56" i="83"/>
  <c r="E56" i="83"/>
  <c r="D56" i="83"/>
  <c r="E55" i="83"/>
  <c r="E51" i="83"/>
  <c r="D51" i="83"/>
  <c r="F50" i="83"/>
  <c r="E50" i="83"/>
  <c r="D50" i="83"/>
  <c r="E49" i="83"/>
  <c r="D49" i="83"/>
  <c r="F47" i="83"/>
  <c r="D34" i="83"/>
  <c r="D33" i="83"/>
  <c r="D32" i="83"/>
  <c r="D31" i="83"/>
  <c r="D30" i="83"/>
  <c r="D29" i="83"/>
  <c r="D28" i="83"/>
  <c r="D27" i="83"/>
  <c r="P26" i="83"/>
  <c r="O26" i="83"/>
  <c r="N26" i="83"/>
  <c r="M26" i="83"/>
  <c r="L26" i="83"/>
  <c r="K26" i="83"/>
  <c r="J26" i="83"/>
  <c r="I26" i="83"/>
  <c r="H26" i="83"/>
  <c r="G26" i="83"/>
  <c r="F26" i="83"/>
  <c r="E26" i="83"/>
  <c r="D26" i="83"/>
  <c r="P25" i="83"/>
  <c r="O25" i="83"/>
  <c r="N25" i="83"/>
  <c r="M25" i="83"/>
  <c r="L25" i="83"/>
  <c r="K25" i="83"/>
  <c r="J25" i="83"/>
  <c r="I25" i="83"/>
  <c r="H25" i="83"/>
  <c r="G25" i="83"/>
  <c r="F25" i="83"/>
  <c r="E25" i="83"/>
  <c r="D25" i="83"/>
  <c r="O24" i="83"/>
  <c r="N24" i="83"/>
  <c r="M24" i="83"/>
  <c r="L24" i="83"/>
  <c r="K24" i="83"/>
  <c r="J24" i="83"/>
  <c r="I24" i="83"/>
  <c r="H24" i="83"/>
  <c r="G24" i="83"/>
  <c r="F24" i="83"/>
  <c r="E24" i="83"/>
  <c r="D24" i="83"/>
  <c r="O23" i="83"/>
  <c r="N23" i="83"/>
  <c r="M23" i="83"/>
  <c r="L23" i="83"/>
  <c r="K23" i="83"/>
  <c r="J23" i="83"/>
  <c r="I23" i="83"/>
  <c r="H23" i="83"/>
  <c r="G23" i="83"/>
  <c r="F23" i="83"/>
  <c r="E23" i="83"/>
  <c r="D23" i="83"/>
  <c r="F22" i="83"/>
  <c r="E22" i="83"/>
  <c r="D22" i="83"/>
  <c r="D21" i="83"/>
  <c r="D20" i="83"/>
  <c r="D19" i="83"/>
  <c r="D18" i="83"/>
  <c r="D17" i="83"/>
  <c r="D16" i="83"/>
  <c r="D15" i="83"/>
  <c r="D14" i="83"/>
  <c r="D13" i="83"/>
  <c r="D12" i="83"/>
  <c r="D11" i="83"/>
  <c r="D10" i="83"/>
  <c r="D9" i="83"/>
  <c r="D8" i="83"/>
  <c r="D7" i="83"/>
  <c r="D6" i="83"/>
  <c r="A19" i="82"/>
  <c r="L51" i="85" l="1"/>
  <c r="Q54" i="85" s="1"/>
  <c r="AU38" i="85" s="1"/>
  <c r="L51" i="86"/>
  <c r="Q54" i="86" s="1"/>
  <c r="AU38" i="86" s="1"/>
  <c r="AT48" i="73"/>
  <c r="AS48" i="73"/>
  <c r="AR48" i="73"/>
  <c r="AQ48" i="73"/>
  <c r="AP48" i="73"/>
  <c r="AO48" i="73"/>
  <c r="AN48" i="73"/>
  <c r="AM48" i="73"/>
  <c r="AL48" i="73"/>
  <c r="AK48" i="73"/>
  <c r="AJ48" i="73"/>
  <c r="AI48" i="73"/>
  <c r="AH48" i="73"/>
  <c r="AU48" i="73" s="1"/>
  <c r="P52" i="73"/>
  <c r="E40" i="83" s="1"/>
  <c r="H52" i="73"/>
  <c r="D40" i="83" s="1"/>
  <c r="A72" i="73"/>
  <c r="AI41" i="86" l="1"/>
  <c r="AI43" i="86"/>
  <c r="AS45" i="86" s="1"/>
  <c r="AU42" i="86"/>
  <c r="AI41" i="85"/>
  <c r="AI43" i="85"/>
  <c r="AS45" i="85" s="1"/>
  <c r="AU42" i="85"/>
  <c r="L27" i="30"/>
  <c r="L26" i="30"/>
  <c r="L25" i="30"/>
  <c r="L24" i="30"/>
  <c r="L23" i="30"/>
  <c r="A30" i="33"/>
  <c r="J57" i="62" l="1"/>
  <c r="J56" i="62"/>
  <c r="J55" i="62"/>
  <c r="N19" i="62" l="1"/>
  <c r="N18" i="62"/>
  <c r="B84" i="62"/>
  <c r="F43" i="66" l="1"/>
  <c r="G12" i="35" l="1"/>
  <c r="H34" i="33"/>
  <c r="H33" i="33"/>
  <c r="H32" i="33"/>
  <c r="F13" i="77" l="1"/>
  <c r="F9" i="38"/>
  <c r="F8" i="38"/>
  <c r="E7" i="31"/>
  <c r="E6" i="31"/>
  <c r="E5" i="31"/>
  <c r="E4" i="31"/>
  <c r="E3" i="31"/>
  <c r="E11" i="31" s="1"/>
  <c r="P14" i="73"/>
  <c r="B41" i="62" l="1"/>
  <c r="B77" i="62"/>
  <c r="B61" i="62"/>
  <c r="B60" i="62"/>
  <c r="B59" i="62"/>
  <c r="B58" i="62"/>
  <c r="AB121" i="62" l="1"/>
  <c r="J54" i="62"/>
  <c r="J53" i="62"/>
  <c r="N12" i="62" l="1"/>
  <c r="K13" i="79" l="1"/>
  <c r="K21" i="31" s="1"/>
  <c r="J13" i="79"/>
  <c r="J21" i="31" s="1"/>
  <c r="I13" i="79"/>
  <c r="H13" i="79"/>
  <c r="G13" i="79"/>
  <c r="F13" i="79"/>
  <c r="Y14" i="73" l="1"/>
  <c r="A73" i="73" l="1"/>
  <c r="C3" i="78" l="1"/>
  <c r="A51" i="78"/>
  <c r="C6" i="78"/>
  <c r="E5" i="67"/>
  <c r="B5" i="67"/>
  <c r="A23" i="77"/>
  <c r="F18" i="66"/>
  <c r="A18" i="66"/>
  <c r="A20" i="66"/>
  <c r="A9" i="78" l="1"/>
  <c r="F20" i="77"/>
  <c r="F15" i="77"/>
  <c r="F14" i="77"/>
  <c r="M4" i="30"/>
  <c r="E4" i="30" s="1"/>
  <c r="F16" i="77" l="1"/>
  <c r="F17" i="77" s="1"/>
  <c r="F21" i="77" s="1"/>
  <c r="A11" i="78"/>
  <c r="A14" i="78"/>
  <c r="D26" i="31" l="1"/>
  <c r="B80" i="62"/>
  <c r="A12" i="78"/>
  <c r="A13" i="78"/>
  <c r="A15" i="78"/>
  <c r="A21" i="78"/>
  <c r="A16" i="78"/>
  <c r="AH44" i="73"/>
  <c r="AH42" i="73"/>
  <c r="A18" i="78" l="1"/>
  <c r="A17" i="78"/>
  <c r="A22" i="78"/>
  <c r="A28" i="78"/>
  <c r="A23" i="78"/>
  <c r="A19" i="78" l="1"/>
  <c r="A20" i="78"/>
  <c r="A25" i="78"/>
  <c r="A24" i="78"/>
  <c r="A29" i="78"/>
  <c r="A35" i="78"/>
  <c r="A30" i="78"/>
  <c r="A32" i="78" l="1"/>
  <c r="A31" i="78"/>
  <c r="A36" i="78"/>
  <c r="A42" i="78"/>
  <c r="A43" i="78" s="1"/>
  <c r="A37" i="78"/>
  <c r="A26" i="78"/>
  <c r="A27" i="78"/>
  <c r="A39" i="78" l="1"/>
  <c r="A38" i="78"/>
  <c r="A33" i="78"/>
  <c r="A34" i="78"/>
  <c r="W20" i="74"/>
  <c r="M20" i="74"/>
  <c r="H20" i="74"/>
  <c r="A61" i="74"/>
  <c r="AB41" i="74"/>
  <c r="M41" i="74"/>
  <c r="A41" i="74"/>
  <c r="A12" i="73"/>
  <c r="Q10" i="73"/>
  <c r="U6" i="73"/>
  <c r="A6" i="73"/>
  <c r="A53" i="74"/>
  <c r="D67" i="83" s="1"/>
  <c r="P48" i="73"/>
  <c r="H48" i="73"/>
  <c r="D38" i="83" s="1"/>
  <c r="AT44" i="73"/>
  <c r="AS44" i="73"/>
  <c r="AR44" i="73"/>
  <c r="AQ44" i="73"/>
  <c r="AP44" i="73"/>
  <c r="AO44" i="73"/>
  <c r="AN44" i="73"/>
  <c r="AM44" i="73"/>
  <c r="AL44" i="73"/>
  <c r="AK44" i="73"/>
  <c r="AJ44" i="73"/>
  <c r="AI44" i="73"/>
  <c r="AT42" i="73"/>
  <c r="AS42" i="73"/>
  <c r="AR42" i="73"/>
  <c r="AQ42" i="73"/>
  <c r="AP42" i="73"/>
  <c r="AO42" i="73"/>
  <c r="AN42" i="73"/>
  <c r="AM42" i="73"/>
  <c r="AL42" i="73"/>
  <c r="AK42" i="73"/>
  <c r="AJ42" i="73"/>
  <c r="AI42" i="73"/>
  <c r="AU42" i="73"/>
  <c r="P42" i="73" s="1"/>
  <c r="D35" i="83" s="1"/>
  <c r="P50" i="73" l="1"/>
  <c r="E39" i="83" s="1"/>
  <c r="E38" i="83"/>
  <c r="AB43" i="74"/>
  <c r="R43" i="74"/>
  <c r="M43" i="74"/>
  <c r="AG43" i="74"/>
  <c r="A43" i="74"/>
  <c r="AU44" i="73"/>
  <c r="U42" i="73" s="1"/>
  <c r="A40" i="78"/>
  <c r="A41" i="78"/>
  <c r="R13" i="69"/>
  <c r="R14" i="68"/>
  <c r="K13" i="69"/>
  <c r="K14" i="68"/>
  <c r="A8" i="68"/>
  <c r="A7" i="69"/>
  <c r="R8" i="68"/>
  <c r="R7" i="69"/>
  <c r="P44" i="73"/>
  <c r="D36" i="83" s="1"/>
  <c r="U44" i="73" l="1"/>
  <c r="E36" i="83" s="1"/>
  <c r="E35" i="83"/>
  <c r="C60" i="32"/>
  <c r="AS179" i="62" l="1"/>
  <c r="AT179" i="62"/>
  <c r="AS180" i="62"/>
  <c r="AT180" i="62"/>
  <c r="AS181" i="62"/>
  <c r="AT181" i="62"/>
  <c r="AS182" i="62"/>
  <c r="AT182" i="62"/>
  <c r="AS183" i="62"/>
  <c r="AT183" i="62"/>
  <c r="AS184" i="62"/>
  <c r="AT184" i="62"/>
  <c r="AS185" i="62"/>
  <c r="AT185" i="62"/>
  <c r="AS186" i="62"/>
  <c r="AT186" i="62"/>
  <c r="AS187" i="62"/>
  <c r="AT187" i="62"/>
  <c r="AS188" i="62"/>
  <c r="AT188" i="62"/>
  <c r="AS189" i="62"/>
  <c r="AT189" i="62"/>
  <c r="AS190" i="62"/>
  <c r="AT190" i="62"/>
  <c r="AS191" i="62"/>
  <c r="AT191" i="62"/>
  <c r="AS192" i="62"/>
  <c r="AT192" i="62"/>
  <c r="AS193" i="62"/>
  <c r="AT193" i="62"/>
  <c r="AS194" i="62"/>
  <c r="AT194" i="62"/>
  <c r="AS195" i="62"/>
  <c r="AT195" i="62"/>
  <c r="AS196" i="62"/>
  <c r="AT196" i="62"/>
  <c r="AS197" i="62"/>
  <c r="AT197" i="62"/>
  <c r="AS198" i="62"/>
  <c r="AT198" i="62"/>
  <c r="AS199" i="62"/>
  <c r="AT199" i="62"/>
  <c r="AS200" i="62"/>
  <c r="AT200" i="62"/>
  <c r="AS201" i="62"/>
  <c r="AT201" i="62"/>
  <c r="AS202" i="62"/>
  <c r="AT202" i="62"/>
  <c r="AS203" i="62"/>
  <c r="AT203" i="62"/>
  <c r="AS204" i="62"/>
  <c r="AT204" i="62"/>
  <c r="AS205" i="62"/>
  <c r="AT205" i="62"/>
  <c r="AS206" i="62"/>
  <c r="AT206" i="62"/>
  <c r="AS207" i="62"/>
  <c r="AT207" i="62"/>
  <c r="AS208" i="62"/>
  <c r="AT208" i="62"/>
  <c r="AS209" i="62"/>
  <c r="AT209" i="62"/>
  <c r="AS210" i="62"/>
  <c r="AT210" i="62"/>
  <c r="AS211" i="62"/>
  <c r="AT211" i="62"/>
  <c r="AS212" i="62"/>
  <c r="AT212" i="62"/>
  <c r="AS213" i="62"/>
  <c r="AT213" i="62"/>
  <c r="AS214" i="62"/>
  <c r="AT214" i="62"/>
  <c r="AS215" i="62"/>
  <c r="AT215" i="62"/>
  <c r="AS216" i="62"/>
  <c r="AT216" i="62"/>
  <c r="AS217" i="62"/>
  <c r="AT217" i="62"/>
  <c r="AS218" i="62"/>
  <c r="AT218" i="62"/>
  <c r="AS219" i="62"/>
  <c r="AT219" i="62"/>
  <c r="AS220" i="62"/>
  <c r="AT220" i="62"/>
  <c r="AS221" i="62"/>
  <c r="AT221" i="62"/>
  <c r="AS222" i="62"/>
  <c r="AT222" i="62"/>
  <c r="AS223" i="62"/>
  <c r="AT223" i="62"/>
  <c r="AS224" i="62"/>
  <c r="AT224" i="62"/>
  <c r="AS225" i="62"/>
  <c r="AT225" i="62"/>
  <c r="AS226" i="62"/>
  <c r="AT226" i="62"/>
  <c r="AS227" i="62"/>
  <c r="AT227" i="62"/>
  <c r="AS228" i="62"/>
  <c r="AT228" i="62"/>
  <c r="AS229" i="62"/>
  <c r="AT229" i="62"/>
  <c r="AS230" i="62"/>
  <c r="AT230" i="62"/>
  <c r="AS231" i="62"/>
  <c r="AT231" i="62"/>
  <c r="AS232" i="62"/>
  <c r="AT232" i="62"/>
  <c r="AS233" i="62"/>
  <c r="AT233" i="62"/>
  <c r="AS234" i="62"/>
  <c r="AT234" i="62"/>
  <c r="AS235" i="62"/>
  <c r="AT235" i="62"/>
  <c r="AS236" i="62"/>
  <c r="AT236" i="62"/>
  <c r="AS237" i="62"/>
  <c r="AT237" i="62"/>
  <c r="AS238" i="62"/>
  <c r="AT238" i="62"/>
  <c r="AS239" i="62"/>
  <c r="AT239" i="62"/>
  <c r="AS240" i="62"/>
  <c r="AT240" i="62"/>
  <c r="AS241" i="62"/>
  <c r="AT241" i="62"/>
  <c r="AS242" i="62"/>
  <c r="AT242" i="62"/>
  <c r="AS243" i="62"/>
  <c r="AT243" i="62"/>
  <c r="AS244" i="62"/>
  <c r="AT244" i="62"/>
  <c r="AS245" i="62"/>
  <c r="AT245" i="62"/>
  <c r="AT178" i="62"/>
  <c r="AS178" i="62"/>
  <c r="T179" i="62"/>
  <c r="U179" i="62"/>
  <c r="V179" i="62"/>
  <c r="W179" i="62"/>
  <c r="T180" i="62"/>
  <c r="U180" i="62"/>
  <c r="V180" i="62"/>
  <c r="W180" i="62"/>
  <c r="T181" i="62"/>
  <c r="U181" i="62"/>
  <c r="V181" i="62"/>
  <c r="W181" i="62"/>
  <c r="T182" i="62"/>
  <c r="U182" i="62"/>
  <c r="V182" i="62"/>
  <c r="W182" i="62"/>
  <c r="T183" i="62"/>
  <c r="U183" i="62"/>
  <c r="V183" i="62"/>
  <c r="W183" i="62"/>
  <c r="T184" i="62"/>
  <c r="U184" i="62"/>
  <c r="V184" i="62"/>
  <c r="W184" i="62"/>
  <c r="T185" i="62"/>
  <c r="U185" i="62"/>
  <c r="V185" i="62"/>
  <c r="W185" i="62"/>
  <c r="T186" i="62"/>
  <c r="U186" i="62"/>
  <c r="V186" i="62"/>
  <c r="W186" i="62"/>
  <c r="T187" i="62"/>
  <c r="U187" i="62"/>
  <c r="V187" i="62"/>
  <c r="W187" i="62"/>
  <c r="T188" i="62"/>
  <c r="U188" i="62"/>
  <c r="V188" i="62"/>
  <c r="W188" i="62"/>
  <c r="T189" i="62"/>
  <c r="U189" i="62"/>
  <c r="V189" i="62"/>
  <c r="W189" i="62"/>
  <c r="T190" i="62"/>
  <c r="U190" i="62"/>
  <c r="V190" i="62"/>
  <c r="W190" i="62"/>
  <c r="T191" i="62"/>
  <c r="U191" i="62"/>
  <c r="V191" i="62"/>
  <c r="W191" i="62"/>
  <c r="T192" i="62"/>
  <c r="U192" i="62"/>
  <c r="V192" i="62"/>
  <c r="W192" i="62"/>
  <c r="T193" i="62"/>
  <c r="U193" i="62"/>
  <c r="V193" i="62"/>
  <c r="W193" i="62"/>
  <c r="T194" i="62"/>
  <c r="U194" i="62"/>
  <c r="V194" i="62"/>
  <c r="W194" i="62"/>
  <c r="T195" i="62"/>
  <c r="U195" i="62"/>
  <c r="V195" i="62"/>
  <c r="W195" i="62"/>
  <c r="T196" i="62"/>
  <c r="U196" i="62"/>
  <c r="V196" i="62"/>
  <c r="W196" i="62"/>
  <c r="T197" i="62"/>
  <c r="U197" i="62"/>
  <c r="V197" i="62"/>
  <c r="W197" i="62"/>
  <c r="T198" i="62"/>
  <c r="U198" i="62"/>
  <c r="V198" i="62"/>
  <c r="W198" i="62"/>
  <c r="T199" i="62"/>
  <c r="U199" i="62"/>
  <c r="V199" i="62"/>
  <c r="W199" i="62"/>
  <c r="T200" i="62"/>
  <c r="U200" i="62"/>
  <c r="V200" i="62"/>
  <c r="W200" i="62"/>
  <c r="T201" i="62"/>
  <c r="U201" i="62"/>
  <c r="V201" i="62"/>
  <c r="W201" i="62"/>
  <c r="T202" i="62"/>
  <c r="U202" i="62"/>
  <c r="V202" i="62"/>
  <c r="W202" i="62"/>
  <c r="T203" i="62"/>
  <c r="U203" i="62"/>
  <c r="V203" i="62"/>
  <c r="W203" i="62"/>
  <c r="T204" i="62"/>
  <c r="U204" i="62"/>
  <c r="V204" i="62"/>
  <c r="W204" i="62"/>
  <c r="T205" i="62"/>
  <c r="U205" i="62"/>
  <c r="V205" i="62"/>
  <c r="W205" i="62"/>
  <c r="T206" i="62"/>
  <c r="U206" i="62"/>
  <c r="V206" i="62"/>
  <c r="W206" i="62"/>
  <c r="T207" i="62"/>
  <c r="U207" i="62"/>
  <c r="V207" i="62"/>
  <c r="W207" i="62"/>
  <c r="T208" i="62"/>
  <c r="U208" i="62"/>
  <c r="V208" i="62"/>
  <c r="W208" i="62"/>
  <c r="T209" i="62"/>
  <c r="U209" i="62"/>
  <c r="V209" i="62"/>
  <c r="W209" i="62"/>
  <c r="T210" i="62"/>
  <c r="U210" i="62"/>
  <c r="V210" i="62"/>
  <c r="W210" i="62"/>
  <c r="T211" i="62"/>
  <c r="U211" i="62"/>
  <c r="V211" i="62"/>
  <c r="W211" i="62"/>
  <c r="T212" i="62"/>
  <c r="U212" i="62"/>
  <c r="V212" i="62"/>
  <c r="W212" i="62"/>
  <c r="T213" i="62"/>
  <c r="U213" i="62"/>
  <c r="V213" i="62"/>
  <c r="W213" i="62"/>
  <c r="T214" i="62"/>
  <c r="U214" i="62"/>
  <c r="V214" i="62"/>
  <c r="W214" i="62"/>
  <c r="T215" i="62"/>
  <c r="U215" i="62"/>
  <c r="V215" i="62"/>
  <c r="W215" i="62"/>
  <c r="T216" i="62"/>
  <c r="U216" i="62"/>
  <c r="V216" i="62"/>
  <c r="W216" i="62"/>
  <c r="T217" i="62"/>
  <c r="U217" i="62"/>
  <c r="V217" i="62"/>
  <c r="W217" i="62"/>
  <c r="T218" i="62"/>
  <c r="U218" i="62"/>
  <c r="V218" i="62"/>
  <c r="W218" i="62"/>
  <c r="T219" i="62"/>
  <c r="U219" i="62"/>
  <c r="V219" i="62"/>
  <c r="W219" i="62"/>
  <c r="T220" i="62"/>
  <c r="U220" i="62"/>
  <c r="V220" i="62"/>
  <c r="W220" i="62"/>
  <c r="T221" i="62"/>
  <c r="U221" i="62"/>
  <c r="V221" i="62"/>
  <c r="W221" i="62"/>
  <c r="T222" i="62"/>
  <c r="U222" i="62"/>
  <c r="V222" i="62"/>
  <c r="W222" i="62"/>
  <c r="T223" i="62"/>
  <c r="U223" i="62"/>
  <c r="V223" i="62"/>
  <c r="W223" i="62"/>
  <c r="T224" i="62"/>
  <c r="U224" i="62"/>
  <c r="V224" i="62"/>
  <c r="W224" i="62"/>
  <c r="T225" i="62"/>
  <c r="U225" i="62"/>
  <c r="V225" i="62"/>
  <c r="W225" i="62"/>
  <c r="T226" i="62"/>
  <c r="U226" i="62"/>
  <c r="V226" i="62"/>
  <c r="W226" i="62"/>
  <c r="T227" i="62"/>
  <c r="U227" i="62"/>
  <c r="V227" i="62"/>
  <c r="W227" i="62"/>
  <c r="T228" i="62"/>
  <c r="U228" i="62"/>
  <c r="V228" i="62"/>
  <c r="W228" i="62"/>
  <c r="T229" i="62"/>
  <c r="U229" i="62"/>
  <c r="V229" i="62"/>
  <c r="W229" i="62"/>
  <c r="T230" i="62"/>
  <c r="U230" i="62"/>
  <c r="V230" i="62"/>
  <c r="W230" i="62"/>
  <c r="T231" i="62"/>
  <c r="U231" i="62"/>
  <c r="V231" i="62"/>
  <c r="W231" i="62"/>
  <c r="T232" i="62"/>
  <c r="U232" i="62"/>
  <c r="V232" i="62"/>
  <c r="W232" i="62"/>
  <c r="T233" i="62"/>
  <c r="U233" i="62"/>
  <c r="V233" i="62"/>
  <c r="W233" i="62"/>
  <c r="T234" i="62"/>
  <c r="U234" i="62"/>
  <c r="V234" i="62"/>
  <c r="W234" i="62"/>
  <c r="T235" i="62"/>
  <c r="U235" i="62"/>
  <c r="V235" i="62"/>
  <c r="W235" i="62"/>
  <c r="T236" i="62"/>
  <c r="U236" i="62"/>
  <c r="V236" i="62"/>
  <c r="W236" i="62"/>
  <c r="T237" i="62"/>
  <c r="U237" i="62"/>
  <c r="V237" i="62"/>
  <c r="W237" i="62"/>
  <c r="T238" i="62"/>
  <c r="U238" i="62"/>
  <c r="V238" i="62"/>
  <c r="W238" i="62"/>
  <c r="T239" i="62"/>
  <c r="U239" i="62"/>
  <c r="V239" i="62"/>
  <c r="W239" i="62"/>
  <c r="T240" i="62"/>
  <c r="U240" i="62"/>
  <c r="V240" i="62"/>
  <c r="W240" i="62"/>
  <c r="T241" i="62"/>
  <c r="U241" i="62"/>
  <c r="V241" i="62"/>
  <c r="W241" i="62"/>
  <c r="T242" i="62"/>
  <c r="U242" i="62"/>
  <c r="V242" i="62"/>
  <c r="W242" i="62"/>
  <c r="T243" i="62"/>
  <c r="U243" i="62"/>
  <c r="V243" i="62"/>
  <c r="W243" i="62"/>
  <c r="T244" i="62"/>
  <c r="U244" i="62"/>
  <c r="V244" i="62"/>
  <c r="W244" i="62"/>
  <c r="T245" i="62"/>
  <c r="U245" i="62"/>
  <c r="V245" i="62"/>
  <c r="W245" i="62"/>
  <c r="T246" i="62"/>
  <c r="U246" i="62"/>
  <c r="V246" i="62"/>
  <c r="W246" i="62"/>
  <c r="T247" i="62"/>
  <c r="U247" i="62"/>
  <c r="V247" i="62"/>
  <c r="W247" i="62"/>
  <c r="T248" i="62"/>
  <c r="U248" i="62"/>
  <c r="V248" i="62"/>
  <c r="W248" i="62"/>
  <c r="T249" i="62"/>
  <c r="U249" i="62"/>
  <c r="V249" i="62"/>
  <c r="W249" i="62"/>
  <c r="T250" i="62"/>
  <c r="U250" i="62"/>
  <c r="V250" i="62"/>
  <c r="W250" i="62"/>
  <c r="T251" i="62"/>
  <c r="U251" i="62"/>
  <c r="V251" i="62"/>
  <c r="W251" i="62"/>
  <c r="T252" i="62"/>
  <c r="U252" i="62"/>
  <c r="V252" i="62"/>
  <c r="W252" i="62"/>
  <c r="T253" i="62"/>
  <c r="U253" i="62"/>
  <c r="V253" i="62"/>
  <c r="W253" i="62"/>
  <c r="T254" i="62"/>
  <c r="U254" i="62"/>
  <c r="V254" i="62"/>
  <c r="W254" i="62"/>
  <c r="T255" i="62"/>
  <c r="U255" i="62"/>
  <c r="V255" i="62"/>
  <c r="W255" i="62"/>
  <c r="T256" i="62"/>
  <c r="U256" i="62"/>
  <c r="V256" i="62"/>
  <c r="W256" i="62"/>
  <c r="T257" i="62"/>
  <c r="U257" i="62"/>
  <c r="V257" i="62"/>
  <c r="W257" i="62"/>
  <c r="T258" i="62"/>
  <c r="U258" i="62"/>
  <c r="V258" i="62"/>
  <c r="W258" i="62"/>
  <c r="W178" i="62"/>
  <c r="V178" i="62"/>
  <c r="U178" i="62"/>
  <c r="T178" i="62"/>
  <c r="AE179" i="62" l="1"/>
  <c r="AE180" i="62"/>
  <c r="AE181" i="62"/>
  <c r="AE182" i="62"/>
  <c r="AE183" i="62"/>
  <c r="AE184" i="62"/>
  <c r="AE185" i="62"/>
  <c r="AE186" i="62"/>
  <c r="AE187" i="62"/>
  <c r="AE188" i="62"/>
  <c r="AE189" i="62"/>
  <c r="AE190" i="62"/>
  <c r="AE191" i="62"/>
  <c r="AE192" i="62"/>
  <c r="AE193" i="62"/>
  <c r="AE194" i="62"/>
  <c r="AE195" i="62"/>
  <c r="AE196" i="62"/>
  <c r="AE197" i="62"/>
  <c r="AE198" i="62"/>
  <c r="AE199" i="62"/>
  <c r="AE200" i="62"/>
  <c r="AE201" i="62"/>
  <c r="AE202" i="62"/>
  <c r="AE203" i="62"/>
  <c r="AE204" i="62"/>
  <c r="AE205" i="62"/>
  <c r="AE206" i="62"/>
  <c r="AE207" i="62"/>
  <c r="AE208" i="62"/>
  <c r="AE209" i="62"/>
  <c r="AE210" i="62"/>
  <c r="AE211" i="62"/>
  <c r="AE212" i="62"/>
  <c r="AE213" i="62"/>
  <c r="AE214" i="62"/>
  <c r="AE215" i="62"/>
  <c r="AE216" i="62"/>
  <c r="AE217" i="62"/>
  <c r="AE218" i="62"/>
  <c r="AE219" i="62"/>
  <c r="AE220" i="62"/>
  <c r="AE221" i="62"/>
  <c r="AE222" i="62"/>
  <c r="AE223" i="62"/>
  <c r="AE224" i="62"/>
  <c r="AE225" i="62"/>
  <c r="AE226" i="62"/>
  <c r="AE227" i="62"/>
  <c r="AE228" i="62"/>
  <c r="AE229" i="62"/>
  <c r="AE230" i="62"/>
  <c r="AE231" i="62"/>
  <c r="AE232" i="62"/>
  <c r="AE233" i="62"/>
  <c r="AE178" i="62"/>
  <c r="AD178" i="62"/>
  <c r="AD179" i="62"/>
  <c r="AD180" i="62"/>
  <c r="AD181" i="62"/>
  <c r="AD182" i="62"/>
  <c r="AD183" i="62"/>
  <c r="AD184" i="62"/>
  <c r="AD185" i="62"/>
  <c r="AD186" i="62"/>
  <c r="AD187" i="62"/>
  <c r="AD188" i="62"/>
  <c r="AD189" i="62"/>
  <c r="AD190" i="62"/>
  <c r="AD191" i="62"/>
  <c r="AD192" i="62"/>
  <c r="AD193" i="62"/>
  <c r="AD194" i="62"/>
  <c r="AD195" i="62"/>
  <c r="AD196" i="62"/>
  <c r="AD197" i="62"/>
  <c r="AD198" i="62"/>
  <c r="AD199" i="62"/>
  <c r="AD200" i="62"/>
  <c r="AD201" i="62"/>
  <c r="AD202" i="62"/>
  <c r="AD203" i="62"/>
  <c r="AD204" i="62"/>
  <c r="AD205" i="62"/>
  <c r="AD206" i="62"/>
  <c r="AD207" i="62"/>
  <c r="AD208" i="62"/>
  <c r="AD209" i="62"/>
  <c r="AD210" i="62"/>
  <c r="AD211" i="62"/>
  <c r="AD212" i="62"/>
  <c r="AD213" i="62"/>
  <c r="AD214" i="62"/>
  <c r="AD215" i="62"/>
  <c r="AD216" i="62"/>
  <c r="AD217" i="62"/>
  <c r="AD218" i="62"/>
  <c r="AD219" i="62"/>
  <c r="AD220" i="62"/>
  <c r="AD221" i="62"/>
  <c r="AD222" i="62"/>
  <c r="AD223" i="62"/>
  <c r="AD224" i="62"/>
  <c r="AD225" i="62"/>
  <c r="AD226" i="62"/>
  <c r="AD227" i="62"/>
  <c r="AD228" i="62"/>
  <c r="AD229" i="62"/>
  <c r="AD230" i="62"/>
  <c r="AD231" i="62"/>
  <c r="AD232" i="62"/>
  <c r="AD233" i="62"/>
  <c r="AQ244" i="62"/>
  <c r="AQ245" i="62"/>
  <c r="AB234" i="62" l="1"/>
  <c r="AB235" i="62"/>
  <c r="AB236" i="62"/>
  <c r="AB237" i="62"/>
  <c r="R255" i="62"/>
  <c r="R256" i="62"/>
  <c r="R257" i="62"/>
  <c r="R258" i="62"/>
  <c r="J78" i="62" l="1"/>
  <c r="N59" i="62"/>
  <c r="D19" i="69" l="1"/>
  <c r="D12" i="70" l="1"/>
  <c r="C8" i="70"/>
  <c r="B20" i="70"/>
  <c r="M7" i="30" l="1"/>
  <c r="D46" i="31" s="1"/>
  <c r="B43" i="62" s="1"/>
  <c r="M6" i="30"/>
  <c r="D43" i="31" s="1"/>
  <c r="B40" i="62" s="1"/>
  <c r="M5" i="30"/>
  <c r="D40" i="31" s="1"/>
  <c r="E7" i="30" l="1"/>
  <c r="A15" i="70"/>
  <c r="C17" i="67" l="1"/>
  <c r="C16" i="67"/>
  <c r="C15" i="67"/>
  <c r="B17" i="67"/>
  <c r="B16" i="67"/>
  <c r="B15" i="67"/>
  <c r="B30" i="66"/>
  <c r="AQ236" i="62" l="1"/>
  <c r="AQ237" i="62"/>
  <c r="AQ238" i="62"/>
  <c r="AQ239" i="62"/>
  <c r="AQ240" i="62"/>
  <c r="AQ241" i="62"/>
  <c r="AQ242" i="62"/>
  <c r="AQ243" i="62"/>
  <c r="AB178" i="62" l="1"/>
  <c r="AQ178" i="62"/>
  <c r="AB179" i="62"/>
  <c r="AB180" i="62"/>
  <c r="AB181" i="62"/>
  <c r="AB182" i="62"/>
  <c r="AB183" i="62"/>
  <c r="AB184" i="62"/>
  <c r="AB185" i="62"/>
  <c r="AB186" i="62"/>
  <c r="AB187" i="62"/>
  <c r="AB188" i="62"/>
  <c r="AB189" i="62"/>
  <c r="AB190" i="62"/>
  <c r="AB191" i="62"/>
  <c r="AB192" i="62"/>
  <c r="AB193" i="62"/>
  <c r="AB194" i="62"/>
  <c r="AB195" i="62"/>
  <c r="AB196" i="62"/>
  <c r="AB197" i="62"/>
  <c r="AB198" i="62"/>
  <c r="AB199" i="62"/>
  <c r="AB200" i="62"/>
  <c r="AB201" i="62"/>
  <c r="AB202" i="62"/>
  <c r="AB203" i="62"/>
  <c r="AB204" i="62"/>
  <c r="AB205" i="62"/>
  <c r="AB206" i="62"/>
  <c r="AB207" i="62"/>
  <c r="AB208" i="62"/>
  <c r="AB209" i="62"/>
  <c r="AB210" i="62"/>
  <c r="AB211" i="62"/>
  <c r="AB212" i="62"/>
  <c r="AB213" i="62"/>
  <c r="AB214" i="62"/>
  <c r="AB215" i="62"/>
  <c r="AB216" i="62"/>
  <c r="AB217" i="62"/>
  <c r="AB218" i="62"/>
  <c r="AB219" i="62"/>
  <c r="AB220" i="62"/>
  <c r="AB221" i="62"/>
  <c r="AB222" i="62"/>
  <c r="AB223" i="62"/>
  <c r="AB224" i="62"/>
  <c r="AB225" i="62"/>
  <c r="AB226" i="62"/>
  <c r="AB227" i="62"/>
  <c r="AB228" i="62"/>
  <c r="AB229" i="62"/>
  <c r="AB230" i="62"/>
  <c r="AB231" i="62"/>
  <c r="AB232" i="62"/>
  <c r="AB233" i="62"/>
  <c r="AQ179" i="62"/>
  <c r="AQ180" i="62"/>
  <c r="AQ181" i="62"/>
  <c r="AQ182" i="62"/>
  <c r="AQ183" i="62"/>
  <c r="AQ184" i="62"/>
  <c r="AQ185" i="62"/>
  <c r="AQ186" i="62"/>
  <c r="AQ187" i="62"/>
  <c r="AQ188" i="62"/>
  <c r="AQ189" i="62"/>
  <c r="AQ190" i="62"/>
  <c r="AQ191" i="62"/>
  <c r="AQ192" i="62"/>
  <c r="AQ193" i="62"/>
  <c r="AQ194" i="62"/>
  <c r="AQ195" i="62"/>
  <c r="AQ196" i="62"/>
  <c r="AQ197" i="62"/>
  <c r="AQ198" i="62"/>
  <c r="AQ199" i="62"/>
  <c r="AQ200" i="62"/>
  <c r="AQ201" i="62"/>
  <c r="AQ202" i="62"/>
  <c r="AQ203" i="62"/>
  <c r="AQ204" i="62"/>
  <c r="AQ205" i="62"/>
  <c r="AQ206" i="62"/>
  <c r="AQ207" i="62"/>
  <c r="AQ208" i="62"/>
  <c r="AQ209" i="62"/>
  <c r="AQ210" i="62"/>
  <c r="AQ211" i="62"/>
  <c r="AQ212" i="62"/>
  <c r="AQ213" i="62"/>
  <c r="AQ214" i="62"/>
  <c r="AQ215" i="62"/>
  <c r="AQ216" i="62"/>
  <c r="AQ217" i="62"/>
  <c r="AQ218" i="62"/>
  <c r="AQ219" i="62"/>
  <c r="AQ220" i="62"/>
  <c r="AQ221" i="62"/>
  <c r="AQ222" i="62"/>
  <c r="AQ223" i="62"/>
  <c r="AQ224" i="62"/>
  <c r="AQ225" i="62"/>
  <c r="AQ226" i="62"/>
  <c r="AQ227" i="62"/>
  <c r="AQ228" i="62"/>
  <c r="AQ229" i="62"/>
  <c r="AQ230" i="62"/>
  <c r="AQ231" i="62"/>
  <c r="AQ232" i="62"/>
  <c r="AQ233" i="62"/>
  <c r="AQ234" i="62"/>
  <c r="AQ235" i="62"/>
  <c r="B38" i="62"/>
  <c r="B79" i="62"/>
  <c r="R244" i="62"/>
  <c r="R245" i="62"/>
  <c r="R246" i="62"/>
  <c r="R247" i="62"/>
  <c r="R248" i="62"/>
  <c r="R249" i="62"/>
  <c r="R250" i="62"/>
  <c r="R251" i="62"/>
  <c r="R252" i="62"/>
  <c r="R253" i="62"/>
  <c r="R254" i="62"/>
  <c r="S178" i="62" l="1"/>
  <c r="AR200" i="62"/>
  <c r="AR212" i="62"/>
  <c r="AR224" i="62"/>
  <c r="AR236" i="62"/>
  <c r="AR201" i="62"/>
  <c r="AR213" i="62"/>
  <c r="AR225" i="62"/>
  <c r="AR237" i="62"/>
  <c r="AR226" i="62"/>
  <c r="AR238" i="62"/>
  <c r="AR239" i="62"/>
  <c r="AR216" i="62"/>
  <c r="AR240" i="62"/>
  <c r="AR232" i="62"/>
  <c r="AR197" i="62"/>
  <c r="AR233" i="62"/>
  <c r="AR214" i="62"/>
  <c r="AR204" i="62"/>
  <c r="AR228" i="62"/>
  <c r="AR202" i="62"/>
  <c r="AR203" i="62"/>
  <c r="AR215" i="62"/>
  <c r="AR227" i="62"/>
  <c r="AR205" i="62"/>
  <c r="AR229" i="62"/>
  <c r="AR241" i="62"/>
  <c r="AR220" i="62"/>
  <c r="AR198" i="62"/>
  <c r="AR234" i="62"/>
  <c r="AR199" i="62"/>
  <c r="AR217" i="62"/>
  <c r="AR222" i="62"/>
  <c r="AR243" i="62"/>
  <c r="AR206" i="62"/>
  <c r="AR218" i="62"/>
  <c r="AR230" i="62"/>
  <c r="AR242" i="62"/>
  <c r="AR207" i="62"/>
  <c r="AR219" i="62"/>
  <c r="AR231" i="62"/>
  <c r="AR245" i="62"/>
  <c r="AR208" i="62"/>
  <c r="AR244" i="62"/>
  <c r="AR209" i="62"/>
  <c r="AR211" i="62"/>
  <c r="AR221" i="62"/>
  <c r="AR223" i="62"/>
  <c r="AR210" i="62"/>
  <c r="AR235" i="62"/>
  <c r="AC178" i="62"/>
  <c r="AC190" i="62"/>
  <c r="AC202" i="62"/>
  <c r="AC214" i="62"/>
  <c r="AC226" i="62"/>
  <c r="AC179" i="62"/>
  <c r="AC191" i="62"/>
  <c r="AC203" i="62"/>
  <c r="AC215" i="62"/>
  <c r="AC227" i="62"/>
  <c r="AC181" i="62"/>
  <c r="AC193" i="62"/>
  <c r="AC217" i="62"/>
  <c r="AC229" i="62"/>
  <c r="AC195" i="62"/>
  <c r="AC219" i="62"/>
  <c r="AC196" i="62"/>
  <c r="AC232" i="62"/>
  <c r="AC197" i="62"/>
  <c r="AC209" i="62"/>
  <c r="AC233" i="62"/>
  <c r="AC210" i="62"/>
  <c r="AC234" i="62"/>
  <c r="AC187" i="62"/>
  <c r="AC211" i="62"/>
  <c r="AC200" i="62"/>
  <c r="AC236" i="62"/>
  <c r="AC213" i="62"/>
  <c r="AC180" i="62"/>
  <c r="AC192" i="62"/>
  <c r="AC204" i="62"/>
  <c r="AC216" i="62"/>
  <c r="AC228" i="62"/>
  <c r="AC205" i="62"/>
  <c r="AC207" i="62"/>
  <c r="AC208" i="62"/>
  <c r="AC186" i="62"/>
  <c r="AC235" i="62"/>
  <c r="AC224" i="62"/>
  <c r="AC225" i="62"/>
  <c r="AC188" i="62"/>
  <c r="AC237" i="62"/>
  <c r="AC182" i="62"/>
  <c r="AC194" i="62"/>
  <c r="AC206" i="62"/>
  <c r="AC218" i="62"/>
  <c r="AC230" i="62"/>
  <c r="AC183" i="62"/>
  <c r="AC231" i="62"/>
  <c r="AC184" i="62"/>
  <c r="AC220" i="62"/>
  <c r="AC185" i="62"/>
  <c r="AC221" i="62"/>
  <c r="AC198" i="62"/>
  <c r="AC222" i="62"/>
  <c r="S255" i="62"/>
  <c r="AC199" i="62"/>
  <c r="AC223" i="62"/>
  <c r="AC212" i="62"/>
  <c r="S257" i="62"/>
  <c r="AC201" i="62"/>
  <c r="S256" i="62"/>
  <c r="AC189" i="62"/>
  <c r="S258" i="62"/>
  <c r="AR195" i="62"/>
  <c r="AR191" i="62"/>
  <c r="AR187" i="62"/>
  <c r="AR183" i="62"/>
  <c r="AR179" i="62"/>
  <c r="AR194" i="62"/>
  <c r="AR189" i="62"/>
  <c r="AR184" i="62"/>
  <c r="AR178" i="62"/>
  <c r="AR193" i="62"/>
  <c r="AR182" i="62"/>
  <c r="AR186" i="62"/>
  <c r="AR196" i="62"/>
  <c r="AR185" i="62"/>
  <c r="AR188" i="62"/>
  <c r="AR192" i="62"/>
  <c r="AR181" i="62"/>
  <c r="AR190" i="62"/>
  <c r="AR180" i="62"/>
  <c r="S249" i="62"/>
  <c r="S241" i="62"/>
  <c r="S233" i="62"/>
  <c r="S225" i="62"/>
  <c r="S217" i="62"/>
  <c r="S209" i="62"/>
  <c r="S201" i="62"/>
  <c r="S193" i="62"/>
  <c r="S181" i="62"/>
  <c r="S252" i="62"/>
  <c r="S248" i="62"/>
  <c r="S244" i="62"/>
  <c r="S240" i="62"/>
  <c r="S236" i="62"/>
  <c r="S232" i="62"/>
  <c r="S228" i="62"/>
  <c r="S224" i="62"/>
  <c r="S220" i="62"/>
  <c r="S216" i="62"/>
  <c r="S212" i="62"/>
  <c r="S208" i="62"/>
  <c r="S204" i="62"/>
  <c r="S200" i="62"/>
  <c r="S196" i="62"/>
  <c r="S192" i="62"/>
  <c r="S188" i="62"/>
  <c r="S184" i="62"/>
  <c r="S180" i="62"/>
  <c r="S189" i="62"/>
  <c r="S251" i="62"/>
  <c r="S247" i="62"/>
  <c r="S243" i="62"/>
  <c r="S239" i="62"/>
  <c r="S235" i="62"/>
  <c r="S231" i="62"/>
  <c r="S227" i="62"/>
  <c r="S223" i="62"/>
  <c r="S219" i="62"/>
  <c r="S215" i="62"/>
  <c r="S211" i="62"/>
  <c r="S207" i="62"/>
  <c r="S203" i="62"/>
  <c r="S199" i="62"/>
  <c r="S195" i="62"/>
  <c r="S191" i="62"/>
  <c r="S187" i="62"/>
  <c r="S183" i="62"/>
  <c r="S179" i="62"/>
  <c r="S253" i="62"/>
  <c r="S245" i="62"/>
  <c r="S237" i="62"/>
  <c r="S229" i="62"/>
  <c r="S221" i="62"/>
  <c r="S213" i="62"/>
  <c r="S205" i="62"/>
  <c r="S197" i="62"/>
  <c r="S185" i="62"/>
  <c r="S254" i="62"/>
  <c r="S250" i="62"/>
  <c r="S246" i="62"/>
  <c r="S242" i="62"/>
  <c r="S238" i="62"/>
  <c r="S234" i="62"/>
  <c r="S230" i="62"/>
  <c r="S226" i="62"/>
  <c r="S222" i="62"/>
  <c r="S218" i="62"/>
  <c r="S214" i="62"/>
  <c r="S210" i="62"/>
  <c r="S206" i="62"/>
  <c r="S202" i="62"/>
  <c r="S198" i="62"/>
  <c r="S194" i="62"/>
  <c r="S190" i="62"/>
  <c r="S186" i="62"/>
  <c r="S182" i="62"/>
  <c r="W2" i="62" l="1"/>
  <c r="W3" i="62"/>
  <c r="W4" i="62"/>
  <c r="W5" i="62"/>
  <c r="S2" i="62"/>
  <c r="S3" i="62"/>
  <c r="S4" i="62"/>
  <c r="S5" i="62"/>
  <c r="F8" i="62"/>
  <c r="F52" i="62"/>
  <c r="F51" i="62"/>
  <c r="F50" i="62"/>
  <c r="B78" i="62"/>
  <c r="D17" i="67" l="1"/>
  <c r="D16" i="67"/>
  <c r="D15" i="67"/>
  <c r="D33" i="66" l="1"/>
  <c r="D14" i="67" s="1"/>
  <c r="C33" i="66"/>
  <c r="B14" i="67" s="1"/>
  <c r="B33" i="66"/>
  <c r="C14" i="67" s="1"/>
  <c r="D32" i="66"/>
  <c r="D13" i="67" s="1"/>
  <c r="C32" i="66"/>
  <c r="B13" i="67" s="1"/>
  <c r="B32" i="66"/>
  <c r="C13" i="67" s="1"/>
  <c r="D31" i="66"/>
  <c r="D12" i="67" s="1"/>
  <c r="C31" i="66"/>
  <c r="B12" i="67" s="1"/>
  <c r="B31" i="66"/>
  <c r="C12" i="67" s="1"/>
  <c r="C30" i="66"/>
  <c r="B11" i="67" s="1"/>
  <c r="C11" i="67"/>
  <c r="G24" i="66"/>
  <c r="E20" i="66"/>
  <c r="F15" i="66"/>
  <c r="B27" i="66" s="1"/>
  <c r="C25" i="69" l="1"/>
  <c r="C26" i="68"/>
  <c r="G20" i="68"/>
  <c r="F28" i="35" l="1"/>
  <c r="D28" i="35"/>
  <c r="H32" i="1"/>
  <c r="B7" i="67" l="1"/>
  <c r="B10" i="70" s="1"/>
  <c r="D30" i="66"/>
  <c r="D11" i="67" s="1"/>
  <c r="B20" i="67" l="1"/>
  <c r="N55" i="62" l="1"/>
  <c r="H29" i="1" l="1"/>
  <c r="K32" i="1"/>
  <c r="D14" i="73" s="1"/>
  <c r="R61" i="62" l="1"/>
  <c r="R62" i="62"/>
  <c r="R63" i="62"/>
  <c r="T71" i="62"/>
  <c r="T72" i="62"/>
  <c r="R2" i="62"/>
  <c r="R3" i="62"/>
  <c r="R4" i="62"/>
  <c r="R5" i="62"/>
  <c r="R71" i="62" l="1"/>
  <c r="R72" i="62"/>
  <c r="R91" i="62" l="1"/>
  <c r="R81" i="62"/>
  <c r="T81" i="62"/>
  <c r="J52" i="62" l="1"/>
  <c r="AA2" i="62" l="1"/>
  <c r="AA3" i="62"/>
  <c r="AA4" i="62"/>
  <c r="AA5" i="62"/>
  <c r="Z2" i="62"/>
  <c r="Z3" i="62"/>
  <c r="Z4" i="62"/>
  <c r="Z5" i="62"/>
  <c r="Y2" i="62"/>
  <c r="Y3" i="62"/>
  <c r="Y4" i="62"/>
  <c r="Y5" i="62"/>
  <c r="X2" i="62"/>
  <c r="X3" i="62"/>
  <c r="X4" i="62"/>
  <c r="X5" i="62"/>
  <c r="V2" i="62"/>
  <c r="V3" i="62"/>
  <c r="V4" i="62"/>
  <c r="V5" i="62"/>
  <c r="U2" i="62"/>
  <c r="U3" i="62"/>
  <c r="U4" i="62"/>
  <c r="U5" i="62"/>
  <c r="T2" i="62"/>
  <c r="T3" i="62"/>
  <c r="T4" i="62"/>
  <c r="T5" i="62"/>
  <c r="B76" i="62" l="1"/>
  <c r="B74" i="62"/>
  <c r="I21" i="31"/>
  <c r="B75" i="62" s="1"/>
  <c r="H21" i="31"/>
  <c r="B73" i="62" s="1"/>
  <c r="G21" i="31"/>
  <c r="B52" i="62" s="1"/>
  <c r="B69" i="62" l="1"/>
  <c r="R178" i="62" l="1"/>
  <c r="R179" i="62"/>
  <c r="R180" i="62"/>
  <c r="R181" i="62"/>
  <c r="R182" i="62"/>
  <c r="R183" i="62"/>
  <c r="R184" i="62"/>
  <c r="R185" i="62"/>
  <c r="R186" i="62"/>
  <c r="R187" i="62"/>
  <c r="R188" i="62"/>
  <c r="R189" i="62"/>
  <c r="R190" i="62"/>
  <c r="R191" i="62"/>
  <c r="R192" i="62"/>
  <c r="R193" i="62"/>
  <c r="R194" i="62"/>
  <c r="R195" i="62"/>
  <c r="R196" i="62"/>
  <c r="R197" i="62"/>
  <c r="R198" i="62"/>
  <c r="R199" i="62"/>
  <c r="R200" i="62"/>
  <c r="R201" i="62"/>
  <c r="R202" i="62"/>
  <c r="R203" i="62"/>
  <c r="R204" i="62"/>
  <c r="R205" i="62"/>
  <c r="R206" i="62"/>
  <c r="R207" i="62"/>
  <c r="R208" i="62"/>
  <c r="R209" i="62"/>
  <c r="R210" i="62"/>
  <c r="R211" i="62"/>
  <c r="R212" i="62"/>
  <c r="R213" i="62"/>
  <c r="R214" i="62"/>
  <c r="R215" i="62"/>
  <c r="R216" i="62"/>
  <c r="R217" i="62"/>
  <c r="R218" i="62"/>
  <c r="R219" i="62"/>
  <c r="R220" i="62"/>
  <c r="R221" i="62"/>
  <c r="R222" i="62"/>
  <c r="R223" i="62"/>
  <c r="R224" i="62"/>
  <c r="R225" i="62"/>
  <c r="R226" i="62"/>
  <c r="R227" i="62"/>
  <c r="R228" i="62"/>
  <c r="R229" i="62"/>
  <c r="R230" i="62"/>
  <c r="R231" i="62"/>
  <c r="R232" i="62"/>
  <c r="R233" i="62"/>
  <c r="R234" i="62"/>
  <c r="R235" i="62"/>
  <c r="R236" i="62"/>
  <c r="R237" i="62"/>
  <c r="R238" i="62"/>
  <c r="R239" i="62"/>
  <c r="R240" i="62"/>
  <c r="R241" i="62"/>
  <c r="R242" i="62"/>
  <c r="R243" i="62"/>
  <c r="S292" i="62" l="1"/>
  <c r="R292" i="62"/>
  <c r="U292" i="62"/>
  <c r="T292" i="62"/>
  <c r="F44" i="62"/>
  <c r="S154" i="62"/>
  <c r="S155" i="62"/>
  <c r="S156" i="62"/>
  <c r="S157" i="62"/>
  <c r="S158" i="62"/>
  <c r="S159" i="62"/>
  <c r="S160" i="62"/>
  <c r="S161" i="62"/>
  <c r="S162" i="62"/>
  <c r="S163" i="62"/>
  <c r="S164" i="62"/>
  <c r="S165" i="62"/>
  <c r="S166" i="62"/>
  <c r="S167" i="62"/>
  <c r="S168" i="62"/>
  <c r="S169" i="62"/>
  <c r="W101" i="62"/>
  <c r="W102" i="62"/>
  <c r="W103" i="62"/>
  <c r="W104" i="62"/>
  <c r="U101" i="62"/>
  <c r="U102" i="62"/>
  <c r="U103" i="62"/>
  <c r="U104" i="62"/>
  <c r="S21" i="62"/>
  <c r="S22" i="62"/>
  <c r="S23" i="62"/>
  <c r="B31" i="62" l="1"/>
  <c r="B30" i="62"/>
  <c r="F24" i="62"/>
  <c r="F28" i="62"/>
  <c r="T154" i="62" l="1"/>
  <c r="T155" i="62"/>
  <c r="T156" i="62"/>
  <c r="T157" i="62"/>
  <c r="T158" i="62"/>
  <c r="T159" i="62"/>
  <c r="T160" i="62"/>
  <c r="T161" i="62"/>
  <c r="T162" i="62"/>
  <c r="T163" i="62"/>
  <c r="T164" i="62"/>
  <c r="T165" i="62"/>
  <c r="T166" i="62"/>
  <c r="T167" i="62"/>
  <c r="T168" i="62"/>
  <c r="T169" i="62"/>
  <c r="Y121" i="62"/>
  <c r="B49" i="62"/>
  <c r="T61" i="62"/>
  <c r="T62" i="62"/>
  <c r="T63" i="62"/>
  <c r="U61" i="62"/>
  <c r="U62" i="62"/>
  <c r="U63" i="62"/>
  <c r="F12" i="62"/>
  <c r="F34" i="62" l="1"/>
  <c r="F30" i="62"/>
  <c r="F29" i="62"/>
  <c r="F26" i="62"/>
  <c r="F25" i="62"/>
  <c r="F19" i="62"/>
  <c r="F15" i="62"/>
  <c r="F2" i="62"/>
  <c r="F6" i="62"/>
  <c r="F10" i="62"/>
  <c r="F11" i="62"/>
  <c r="F23" i="62"/>
  <c r="T21" i="62" l="1"/>
  <c r="T22" i="62"/>
  <c r="T23" i="62"/>
  <c r="F47" i="62" l="1"/>
  <c r="F42" i="62"/>
  <c r="F41" i="62"/>
  <c r="F40" i="62"/>
  <c r="F22" i="62"/>
  <c r="F21" i="62"/>
  <c r="F20" i="62"/>
  <c r="F46" i="62" l="1"/>
  <c r="F43" i="62"/>
  <c r="T101" i="62" l="1"/>
  <c r="T102" i="62"/>
  <c r="T103" i="62"/>
  <c r="T104" i="62"/>
  <c r="F31" i="62"/>
  <c r="F39" i="62"/>
  <c r="F38" i="62"/>
  <c r="F37" i="62"/>
  <c r="F36" i="62"/>
  <c r="F35" i="62"/>
  <c r="F33" i="62"/>
  <c r="F17" i="62"/>
  <c r="F16" i="62"/>
  <c r="F14" i="62"/>
  <c r="F18" i="62"/>
  <c r="F5" i="62"/>
  <c r="L26" i="62"/>
  <c r="L25" i="62"/>
  <c r="K27" i="62"/>
  <c r="K26" i="62"/>
  <c r="K25" i="62"/>
  <c r="K24" i="62"/>
  <c r="B4" i="62" l="1"/>
  <c r="V154" i="62" l="1"/>
  <c r="V155" i="62"/>
  <c r="V156" i="62"/>
  <c r="V157" i="62"/>
  <c r="V158" i="62"/>
  <c r="V159" i="62"/>
  <c r="V160" i="62"/>
  <c r="V161" i="62"/>
  <c r="V162" i="62"/>
  <c r="V163" i="62"/>
  <c r="V164" i="62"/>
  <c r="V165" i="62"/>
  <c r="V166" i="62"/>
  <c r="V167" i="62"/>
  <c r="V168" i="62"/>
  <c r="V169" i="62"/>
  <c r="U154" i="62"/>
  <c r="U155" i="62"/>
  <c r="U156" i="62"/>
  <c r="U157" i="62"/>
  <c r="U158" i="62"/>
  <c r="U159" i="62"/>
  <c r="U160" i="62"/>
  <c r="U161" i="62"/>
  <c r="U162" i="62"/>
  <c r="U163" i="62"/>
  <c r="U164" i="62"/>
  <c r="U165" i="62"/>
  <c r="U166" i="62"/>
  <c r="U167" i="62"/>
  <c r="U168" i="62"/>
  <c r="U169" i="62"/>
  <c r="R154" i="62"/>
  <c r="R155" i="62"/>
  <c r="R156" i="62"/>
  <c r="R157" i="62"/>
  <c r="R158" i="62"/>
  <c r="R159" i="62"/>
  <c r="R160" i="62"/>
  <c r="R161" i="62"/>
  <c r="R162" i="62"/>
  <c r="R163" i="62"/>
  <c r="R164" i="62"/>
  <c r="R165" i="62"/>
  <c r="R166" i="62"/>
  <c r="R167" i="62"/>
  <c r="R168" i="62"/>
  <c r="R169" i="62"/>
  <c r="U131" i="62"/>
  <c r="U132" i="62"/>
  <c r="U133" i="62"/>
  <c r="U134" i="62"/>
  <c r="U135" i="62"/>
  <c r="U136" i="62"/>
  <c r="U137" i="62"/>
  <c r="U138" i="62"/>
  <c r="T131" i="62"/>
  <c r="T132" i="62"/>
  <c r="T133" i="62"/>
  <c r="T134" i="62"/>
  <c r="T135" i="62"/>
  <c r="T136" i="62"/>
  <c r="T137" i="62"/>
  <c r="T138" i="62"/>
  <c r="S131" i="62"/>
  <c r="S132" i="62"/>
  <c r="S133" i="62"/>
  <c r="S134" i="62"/>
  <c r="S135" i="62"/>
  <c r="S136" i="62"/>
  <c r="S137" i="62"/>
  <c r="S138" i="62"/>
  <c r="R131" i="62"/>
  <c r="R132" i="62"/>
  <c r="R133" i="62"/>
  <c r="R134" i="62"/>
  <c r="R135" i="62"/>
  <c r="R136" i="62"/>
  <c r="R137" i="62"/>
  <c r="R138" i="62"/>
  <c r="X121" i="62"/>
  <c r="W121" i="62"/>
  <c r="U121" i="62"/>
  <c r="T121" i="62"/>
  <c r="S121" i="62"/>
  <c r="S101" i="62"/>
  <c r="S102" i="62"/>
  <c r="S103" i="62"/>
  <c r="S104" i="62"/>
  <c r="R101" i="62"/>
  <c r="R102" i="62"/>
  <c r="R103" i="62"/>
  <c r="R104" i="62"/>
  <c r="J77" i="62"/>
  <c r="J73" i="62"/>
  <c r="J72" i="62"/>
  <c r="J67" i="62"/>
  <c r="J65" i="62"/>
  <c r="J64" i="62"/>
  <c r="J63" i="62"/>
  <c r="S91" i="62"/>
  <c r="U81" i="62"/>
  <c r="S81" i="62"/>
  <c r="U71" i="62"/>
  <c r="U72" i="62"/>
  <c r="S71" i="62"/>
  <c r="S72" i="62"/>
  <c r="V61" i="62"/>
  <c r="V62" i="62"/>
  <c r="V63" i="62"/>
  <c r="S61" i="62"/>
  <c r="S62" i="62"/>
  <c r="S63" i="62"/>
  <c r="S51" i="62"/>
  <c r="S52" i="62"/>
  <c r="S53" i="62"/>
  <c r="S54" i="62"/>
  <c r="R51" i="62"/>
  <c r="R52" i="62"/>
  <c r="R53" i="62"/>
  <c r="R54" i="62"/>
  <c r="S41" i="62"/>
  <c r="S42" i="62"/>
  <c r="S43" i="62"/>
  <c r="S44" i="62"/>
  <c r="R41" i="62"/>
  <c r="R42" i="62"/>
  <c r="R43" i="62"/>
  <c r="R44" i="62"/>
  <c r="W23" i="62" l="1"/>
  <c r="W22" i="62"/>
  <c r="W21" i="62"/>
  <c r="X3" i="61"/>
  <c r="U3" i="61"/>
  <c r="R3" i="61"/>
  <c r="O31" i="62"/>
  <c r="N31" i="62" s="1"/>
  <c r="N58" i="62"/>
  <c r="N57" i="62"/>
  <c r="N53" i="62"/>
  <c r="N50" i="62"/>
  <c r="N44" i="62"/>
  <c r="N42" i="62"/>
  <c r="N41" i="62"/>
  <c r="N38" i="62"/>
  <c r="N37" i="62"/>
  <c r="N36" i="62"/>
  <c r="N35" i="62"/>
  <c r="N34" i="62"/>
  <c r="J49" i="62"/>
  <c r="J48" i="62"/>
  <c r="J51" i="62"/>
  <c r="J50" i="62"/>
  <c r="J45" i="62"/>
  <c r="J44" i="62"/>
  <c r="J43" i="62"/>
  <c r="J42" i="62"/>
  <c r="J41" i="62"/>
  <c r="J40" i="62"/>
  <c r="J38" i="62"/>
  <c r="J37" i="62"/>
  <c r="J36" i="62"/>
  <c r="J35" i="62"/>
  <c r="J33" i="62"/>
  <c r="J32" i="62"/>
  <c r="J31" i="62"/>
  <c r="R21" i="62" l="1"/>
  <c r="U21" i="62"/>
  <c r="R22" i="62"/>
  <c r="U22" i="62"/>
  <c r="F69" i="62"/>
  <c r="R23" i="62"/>
  <c r="U23" i="62"/>
  <c r="N60" i="62"/>
  <c r="N17" i="62"/>
  <c r="N16" i="62"/>
  <c r="N15" i="62"/>
  <c r="N11" i="62"/>
  <c r="N10" i="62"/>
  <c r="N9" i="62"/>
  <c r="N8" i="62"/>
  <c r="N7" i="62"/>
  <c r="N6" i="62"/>
  <c r="N5" i="62"/>
  <c r="N3" i="62"/>
  <c r="J9" i="62" l="1"/>
  <c r="J7" i="62"/>
  <c r="J5" i="62"/>
  <c r="J4" i="62"/>
  <c r="F9" i="62"/>
  <c r="F7" i="62"/>
  <c r="F4" i="62"/>
  <c r="B72" i="62" l="1"/>
  <c r="B71" i="62"/>
  <c r="B65" i="62"/>
  <c r="B64" i="62"/>
  <c r="B63" i="62"/>
  <c r="B62" i="62"/>
  <c r="B57" i="62"/>
  <c r="B56" i="62"/>
  <c r="B55" i="62"/>
  <c r="B54" i="62"/>
  <c r="B53" i="62"/>
  <c r="B50" i="62"/>
  <c r="B45" i="62"/>
  <c r="B44" i="62"/>
  <c r="B39" i="62"/>
  <c r="B37" i="62"/>
  <c r="B28" i="62"/>
  <c r="B23" i="62"/>
  <c r="B21" i="62"/>
  <c r="B19" i="62"/>
  <c r="B16" i="62"/>
  <c r="B14" i="62"/>
  <c r="B12" i="62"/>
  <c r="B8" i="62"/>
  <c r="B6" i="62"/>
  <c r="B3" i="62"/>
  <c r="B2" i="62" l="1"/>
  <c r="M3" i="61" l="1"/>
  <c r="D3" i="61"/>
  <c r="M4" i="61" l="1"/>
  <c r="M5" i="61" s="1"/>
  <c r="R6" i="61" s="1"/>
  <c r="X4" i="61"/>
  <c r="R4" i="61"/>
  <c r="U4" i="61"/>
  <c r="D4" i="61"/>
  <c r="D5" i="61" s="1"/>
  <c r="U5" i="61" l="1"/>
  <c r="M6" i="61"/>
  <c r="M7" i="61" s="1"/>
  <c r="R5" i="61"/>
  <c r="X6" i="61"/>
  <c r="X5" i="61"/>
  <c r="U6" i="61"/>
  <c r="D6" i="61"/>
  <c r="D7" i="61" s="1"/>
  <c r="R7" i="61" l="1"/>
  <c r="R8" i="61"/>
  <c r="X7" i="61"/>
  <c r="U7" i="61"/>
  <c r="X8" i="61"/>
  <c r="U8" i="61"/>
  <c r="M8" i="61"/>
  <c r="D8" i="61"/>
  <c r="D9" i="61" s="1"/>
  <c r="U9" i="61" l="1"/>
  <c r="M9" i="61"/>
  <c r="U10" i="61" s="1"/>
  <c r="X9" i="61"/>
  <c r="R9" i="61"/>
  <c r="D10" i="61"/>
  <c r="R10" i="61" l="1"/>
  <c r="M10" i="61"/>
  <c r="X10" i="61"/>
  <c r="D11" i="61"/>
  <c r="M11" i="61" l="1"/>
  <c r="X12" i="61" s="1"/>
  <c r="U11" i="61"/>
  <c r="R11" i="61"/>
  <c r="X11" i="61"/>
  <c r="D12" i="61"/>
  <c r="U12" i="61" l="1"/>
  <c r="R12" i="61"/>
  <c r="M12" i="61"/>
  <c r="D13" i="61"/>
  <c r="R13" i="61" l="1"/>
  <c r="M13" i="61"/>
  <c r="U14" i="61" s="1"/>
  <c r="X13" i="61"/>
  <c r="U13" i="61"/>
  <c r="D14" i="61"/>
  <c r="R14" i="61" l="1"/>
  <c r="X14" i="61"/>
  <c r="M14" i="61"/>
  <c r="D15" i="61"/>
  <c r="M15" i="61" l="1"/>
  <c r="X15" i="61"/>
  <c r="U15" i="61"/>
  <c r="R15" i="61"/>
  <c r="D16" i="61"/>
  <c r="D17" i="61" s="1"/>
  <c r="D18" i="61" s="1"/>
  <c r="D19" i="61" s="1"/>
  <c r="M16" i="61" l="1"/>
  <c r="R16" i="61"/>
  <c r="U16" i="61"/>
  <c r="X16" i="61"/>
  <c r="D20" i="61"/>
  <c r="D21" i="61" s="1"/>
  <c r="D22" i="61" l="1"/>
  <c r="D23" i="61" s="1"/>
  <c r="M17" i="61"/>
  <c r="M18" i="61" s="1"/>
  <c r="X17" i="61"/>
  <c r="R17" i="61"/>
  <c r="U17" i="61"/>
  <c r="C34" i="27"/>
  <c r="B32" i="1"/>
  <c r="A14" i="73" s="1"/>
  <c r="B31" i="1"/>
  <c r="L31" i="1"/>
  <c r="P12" i="73" s="1"/>
  <c r="F15" i="33"/>
  <c r="N47" i="62" s="1"/>
  <c r="F16" i="33"/>
  <c r="N46" i="62" s="1"/>
  <c r="A7" i="1"/>
  <c r="A9" i="1" s="1"/>
  <c r="G11" i="35"/>
  <c r="J61" i="62" s="1"/>
  <c r="E12" i="30"/>
  <c r="J15" i="62" s="1"/>
  <c r="J18" i="62"/>
  <c r="B25" i="62"/>
  <c r="B26" i="62"/>
  <c r="B27" i="62"/>
  <c r="B42" i="62"/>
  <c r="J8" i="62"/>
  <c r="F31" i="30"/>
  <c r="N4" i="62" s="1"/>
  <c r="F21" i="31"/>
  <c r="D23" i="31" s="1"/>
  <c r="D34" i="31"/>
  <c r="B47" i="62" s="1"/>
  <c r="D37" i="31"/>
  <c r="A38" i="32"/>
  <c r="A32" i="32"/>
  <c r="F45" i="62" s="1"/>
  <c r="J69" i="62"/>
  <c r="C46" i="27"/>
  <c r="A3" i="1"/>
  <c r="A5" i="1"/>
  <c r="M19" i="33"/>
  <c r="B28" i="1"/>
  <c r="A10" i="73" s="1"/>
  <c r="J28" i="1"/>
  <c r="H10" i="73" s="1"/>
  <c r="B29" i="1"/>
  <c r="B5" i="27"/>
  <c r="A47" i="1"/>
  <c r="F32" i="1"/>
  <c r="G31" i="1"/>
  <c r="D12" i="73" s="1"/>
  <c r="G28" i="1"/>
  <c r="A43" i="32"/>
  <c r="B5" i="62" s="1"/>
  <c r="A34" i="55"/>
  <c r="E6" i="55"/>
  <c r="A21" i="54"/>
  <c r="A34" i="53"/>
  <c r="A32" i="38"/>
  <c r="F5" i="53"/>
  <c r="F12" i="53"/>
  <c r="V131" i="62" s="1"/>
  <c r="F13" i="53"/>
  <c r="V132" i="62" s="1"/>
  <c r="F14" i="53"/>
  <c r="V133" i="62" s="1"/>
  <c r="F15" i="53"/>
  <c r="V134" i="62" s="1"/>
  <c r="F16" i="53"/>
  <c r="V135" i="62" s="1"/>
  <c r="F17" i="53"/>
  <c r="V136" i="62" s="1"/>
  <c r="F18" i="53"/>
  <c r="V137" i="62" s="1"/>
  <c r="F19" i="53"/>
  <c r="V138" i="62" s="1"/>
  <c r="E20" i="53"/>
  <c r="E18" i="30" s="1"/>
  <c r="J21" i="62" s="1"/>
  <c r="G33" i="35"/>
  <c r="H24" i="35"/>
  <c r="V101" i="62" s="1"/>
  <c r="H25" i="35"/>
  <c r="H26" i="35"/>
  <c r="V103" i="62" s="1"/>
  <c r="H27" i="35"/>
  <c r="V104" i="62" s="1"/>
  <c r="E27" i="33"/>
  <c r="N40" i="62" s="1"/>
  <c r="A36" i="33"/>
  <c r="G13" i="34"/>
  <c r="F76" i="62" s="1"/>
  <c r="F13" i="34"/>
  <c r="F67" i="62" s="1"/>
  <c r="G12" i="34"/>
  <c r="F75" i="62" s="1"/>
  <c r="F12" i="34"/>
  <c r="F66" i="62" s="1"/>
  <c r="F11" i="34"/>
  <c r="F63" i="62" s="1"/>
  <c r="G11" i="34"/>
  <c r="F72" i="62" s="1"/>
  <c r="G14" i="34"/>
  <c r="F77" i="62" s="1"/>
  <c r="G10" i="34"/>
  <c r="F71" i="62" s="1"/>
  <c r="G9" i="34"/>
  <c r="F74" i="62" s="1"/>
  <c r="G8" i="34"/>
  <c r="F73" i="62" s="1"/>
  <c r="G7" i="34"/>
  <c r="F70" i="62" s="1"/>
  <c r="F14" i="34"/>
  <c r="F68" i="62" s="1"/>
  <c r="F10" i="34"/>
  <c r="F62" i="62" s="1"/>
  <c r="F9" i="34"/>
  <c r="F65" i="62" s="1"/>
  <c r="F8" i="34"/>
  <c r="F64" i="62" s="1"/>
  <c r="F7" i="34"/>
  <c r="F61" i="62" s="1"/>
  <c r="A38" i="35"/>
  <c r="A61" i="32"/>
  <c r="K26" i="32"/>
  <c r="J47" i="62" s="1"/>
  <c r="A49" i="27"/>
  <c r="C48" i="27"/>
  <c r="C35" i="27"/>
  <c r="C23" i="27"/>
  <c r="C16" i="27"/>
  <c r="B23" i="27"/>
  <c r="B16" i="27"/>
  <c r="B17" i="27" s="1"/>
  <c r="I1" i="33" l="1"/>
  <c r="I1" i="35"/>
  <c r="F11" i="33"/>
  <c r="F30" i="33"/>
  <c r="H30" i="33"/>
  <c r="F12" i="33"/>
  <c r="B14" i="68"/>
  <c r="B13" i="69"/>
  <c r="D14" i="68"/>
  <c r="D13" i="69"/>
  <c r="H8" i="70"/>
  <c r="Y10" i="73"/>
  <c r="Y13" i="69" s="1"/>
  <c r="V12" i="73"/>
  <c r="A60" i="32"/>
  <c r="B51" i="62"/>
  <c r="G13" i="35"/>
  <c r="G16" i="35" s="1"/>
  <c r="B68" i="62"/>
  <c r="C47" i="27"/>
  <c r="E10" i="30"/>
  <c r="N75" i="62" s="1"/>
  <c r="C24" i="27"/>
  <c r="C25" i="27" s="1"/>
  <c r="B24" i="27"/>
  <c r="B25" i="27" s="1"/>
  <c r="C17" i="27"/>
  <c r="V102" i="62"/>
  <c r="H28" i="35"/>
  <c r="G34" i="35" s="1"/>
  <c r="G35" i="35" s="1"/>
  <c r="J2" i="62"/>
  <c r="F20" i="53"/>
  <c r="J3" i="62" s="1"/>
  <c r="J74" i="62"/>
  <c r="J62" i="62"/>
  <c r="D38" i="31"/>
  <c r="B34" i="62" s="1"/>
  <c r="B48" i="62"/>
  <c r="M19" i="61"/>
  <c r="X19" i="61"/>
  <c r="R19" i="61"/>
  <c r="U19" i="61"/>
  <c r="X18" i="61"/>
  <c r="U18" i="61"/>
  <c r="R18" i="61"/>
  <c r="D35" i="31"/>
  <c r="B33" i="62" s="1"/>
  <c r="D24" i="61"/>
  <c r="D25" i="61" s="1"/>
  <c r="G1" i="38" l="1"/>
  <c r="G1" i="77"/>
  <c r="J17" i="62"/>
  <c r="N3" i="74"/>
  <c r="AC20" i="74" s="1"/>
  <c r="Y14" i="68"/>
  <c r="J66" i="62"/>
  <c r="F1" i="53"/>
  <c r="E1" i="55" s="1"/>
  <c r="J12" i="62"/>
  <c r="J68" i="62"/>
  <c r="J76" i="62"/>
  <c r="J71" i="62"/>
  <c r="E13" i="30"/>
  <c r="J20" i="62" s="1"/>
  <c r="J46" i="62"/>
  <c r="R20" i="61"/>
  <c r="X20" i="61"/>
  <c r="U20" i="61"/>
  <c r="M20" i="61"/>
  <c r="D26" i="61"/>
  <c r="D27" i="61" s="1"/>
  <c r="D28" i="61" s="1"/>
  <c r="D29" i="61" s="1"/>
  <c r="D30" i="61" s="1"/>
  <c r="D31" i="61" s="1"/>
  <c r="D32" i="61" s="1"/>
  <c r="D33" i="61" s="1"/>
  <c r="D34" i="61" s="1"/>
  <c r="D35" i="61" s="1"/>
  <c r="D36" i="61" s="1"/>
  <c r="D37" i="61" s="1"/>
  <c r="D38" i="61" s="1"/>
  <c r="D39" i="61" s="1"/>
  <c r="N52" i="62" l="1"/>
  <c r="J75" i="62"/>
  <c r="J70" i="62"/>
  <c r="E14" i="30"/>
  <c r="J16" i="62" s="1"/>
  <c r="X21" i="61"/>
  <c r="R21" i="61"/>
  <c r="U21" i="61"/>
  <c r="M21" i="61"/>
  <c r="M22" i="61" s="1"/>
  <c r="D40" i="61"/>
  <c r="D41" i="61" s="1"/>
  <c r="M23" i="61" l="1"/>
  <c r="M24" i="61" s="1"/>
  <c r="X22" i="61"/>
  <c r="U22" i="61"/>
  <c r="R22" i="61"/>
  <c r="X23" i="61"/>
  <c r="R23" i="61"/>
  <c r="U23" i="61"/>
  <c r="D42" i="61"/>
  <c r="D43" i="61" s="1"/>
  <c r="D44" i="61" s="1"/>
  <c r="F30" i="38" l="1"/>
  <c r="F10" i="38"/>
  <c r="X24" i="61"/>
  <c r="U24" i="61"/>
  <c r="R24" i="61"/>
  <c r="J11" i="62"/>
  <c r="M25" i="61"/>
  <c r="U25" i="61"/>
  <c r="R25" i="61"/>
  <c r="X25" i="61"/>
  <c r="D45" i="61"/>
  <c r="D46" i="61" s="1"/>
  <c r="D47" i="61" s="1"/>
  <c r="F11" i="38" l="1"/>
  <c r="N76" i="62"/>
  <c r="N77" i="62"/>
  <c r="N71" i="62"/>
  <c r="M26" i="61"/>
  <c r="R26" i="61"/>
  <c r="U26" i="61"/>
  <c r="X26" i="61"/>
  <c r="D48" i="61"/>
  <c r="F12" i="38" l="1"/>
  <c r="N78" i="62" s="1"/>
  <c r="B18" i="62"/>
  <c r="B22" i="62"/>
  <c r="M27" i="61"/>
  <c r="X27" i="61"/>
  <c r="U27" i="61"/>
  <c r="R27" i="61"/>
  <c r="D49" i="61"/>
  <c r="B67" i="62" l="1"/>
  <c r="B24" i="62"/>
  <c r="M28" i="61"/>
  <c r="X28" i="61"/>
  <c r="U28" i="61"/>
  <c r="R28" i="61"/>
  <c r="D50" i="61"/>
  <c r="D51" i="61" s="1"/>
  <c r="D52" i="61" s="1"/>
  <c r="D53" i="61" s="1"/>
  <c r="D54" i="61" s="1"/>
  <c r="D55" i="61" s="1"/>
  <c r="D56" i="61" s="1"/>
  <c r="D57" i="61" s="1"/>
  <c r="D58" i="61" s="1"/>
  <c r="D59" i="61" s="1"/>
  <c r="D60" i="61" s="1"/>
  <c r="D61" i="61" s="1"/>
  <c r="D62" i="61" s="1"/>
  <c r="D63" i="61" s="1"/>
  <c r="D64" i="61" s="1"/>
  <c r="D65" i="61" s="1"/>
  <c r="D66" i="61" s="1"/>
  <c r="D67" i="61" s="1"/>
  <c r="D68" i="61" s="1"/>
  <c r="D69" i="61" s="1"/>
  <c r="D70" i="61" s="1"/>
  <c r="D71" i="61" s="1"/>
  <c r="D72" i="61" s="1"/>
  <c r="D73" i="61" s="1"/>
  <c r="D74" i="61" s="1"/>
  <c r="D75" i="61" s="1"/>
  <c r="D76" i="61" s="1"/>
  <c r="D77" i="61" s="1"/>
  <c r="D78" i="61" s="1"/>
  <c r="D79" i="61" s="1"/>
  <c r="D80" i="61" s="1"/>
  <c r="D81" i="61" s="1"/>
  <c r="D82" i="61" s="1"/>
  <c r="D83" i="61" s="1"/>
  <c r="D84" i="61" s="1"/>
  <c r="D85" i="61" s="1"/>
  <c r="D86" i="61" s="1"/>
  <c r="D87" i="61" s="1"/>
  <c r="D88" i="61" s="1"/>
  <c r="D89" i="61" s="1"/>
  <c r="D90" i="61" s="1"/>
  <c r="D91" i="61" s="1"/>
  <c r="D92" i="61" s="1"/>
  <c r="D93" i="61" s="1"/>
  <c r="D94" i="61" s="1"/>
  <c r="D95" i="61" s="1"/>
  <c r="D96" i="61" s="1"/>
  <c r="D97" i="61" s="1"/>
  <c r="D98" i="61" s="1"/>
  <c r="D99" i="61" s="1"/>
  <c r="D100" i="61" s="1"/>
  <c r="D101" i="61" s="1"/>
  <c r="D102" i="61" s="1"/>
  <c r="D103" i="61" s="1"/>
  <c r="D104" i="61" s="1"/>
  <c r="D105" i="61" s="1"/>
  <c r="D106" i="61" s="1"/>
  <c r="D107" i="61" s="1"/>
  <c r="D108" i="61" s="1"/>
  <c r="D109" i="61" s="1"/>
  <c r="D110" i="61" s="1"/>
  <c r="D111" i="61" s="1"/>
  <c r="D112" i="61" s="1"/>
  <c r="D113" i="61" s="1"/>
  <c r="D114" i="61" s="1"/>
  <c r="D115" i="61" s="1"/>
  <c r="D116" i="61" s="1"/>
  <c r="D117" i="61" s="1"/>
  <c r="D118" i="61" s="1"/>
  <c r="D119" i="61" s="1"/>
  <c r="D120" i="61" s="1"/>
  <c r="D121" i="61" s="1"/>
  <c r="D122" i="61" s="1"/>
  <c r="D123" i="61" s="1"/>
  <c r="D124" i="61" s="1"/>
  <c r="D125" i="61" s="1"/>
  <c r="D126" i="61" s="1"/>
  <c r="D127" i="61" s="1"/>
  <c r="D128" i="61" s="1"/>
  <c r="D129" i="61" s="1"/>
  <c r="D130" i="61" s="1"/>
  <c r="D131" i="61" s="1"/>
  <c r="D132" i="61" s="1"/>
  <c r="D133" i="61" s="1"/>
  <c r="D134" i="61" s="1"/>
  <c r="D135" i="61" s="1"/>
  <c r="D136" i="61" s="1"/>
  <c r="D137" i="61" s="1"/>
  <c r="D138" i="61" s="1"/>
  <c r="D139" i="61" s="1"/>
  <c r="D140" i="61" s="1"/>
  <c r="D141" i="61" s="1"/>
  <c r="D142" i="61" s="1"/>
  <c r="D143" i="61" s="1"/>
  <c r="D144" i="61" s="1"/>
  <c r="D145" i="61" s="1"/>
  <c r="D146" i="61" s="1"/>
  <c r="D147" i="61" s="1"/>
  <c r="D148" i="61" s="1"/>
  <c r="D149" i="61" s="1"/>
  <c r="D150" i="61" s="1"/>
  <c r="D151" i="61" s="1"/>
  <c r="D152" i="61" s="1"/>
  <c r="D153" i="61" s="1"/>
  <c r="D154" i="61" s="1"/>
  <c r="D155" i="61" s="1"/>
  <c r="D156" i="61" s="1"/>
  <c r="D157" i="61" s="1"/>
  <c r="D158" i="61" s="1"/>
  <c r="D159" i="61" s="1"/>
  <c r="D160" i="61" s="1"/>
  <c r="D161" i="61" s="1"/>
  <c r="D162" i="61" s="1"/>
  <c r="D163" i="61" s="1"/>
  <c r="D164" i="61" s="1"/>
  <c r="D165" i="61" s="1"/>
  <c r="D166" i="61" s="1"/>
  <c r="D167" i="61" s="1"/>
  <c r="D168" i="61" s="1"/>
  <c r="D169" i="61" s="1"/>
  <c r="D170" i="61" s="1"/>
  <c r="D171" i="61" s="1"/>
  <c r="D172" i="61" s="1"/>
  <c r="D173" i="61" s="1"/>
  <c r="D174" i="61" s="1"/>
  <c r="D175" i="61" s="1"/>
  <c r="D176" i="61" s="1"/>
  <c r="D177" i="61" s="1"/>
  <c r="D178" i="61" s="1"/>
  <c r="D179" i="61" s="1"/>
  <c r="D180" i="61" s="1"/>
  <c r="D181" i="61" s="1"/>
  <c r="D182" i="61" s="1"/>
  <c r="D183" i="61" s="1"/>
  <c r="D184" i="61" s="1"/>
  <c r="D185" i="61" s="1"/>
  <c r="D186" i="61" s="1"/>
  <c r="D187" i="61" s="1"/>
  <c r="D188" i="61" s="1"/>
  <c r="D189" i="61" s="1"/>
  <c r="D190" i="61" s="1"/>
  <c r="D191" i="61" s="1"/>
  <c r="D192" i="61" s="1"/>
  <c r="D193" i="61" s="1"/>
  <c r="D194" i="61" s="1"/>
  <c r="D195" i="61" s="1"/>
  <c r="D196" i="61" s="1"/>
  <c r="D197" i="61" s="1"/>
  <c r="D198" i="61" s="1"/>
  <c r="D199" i="61" s="1"/>
  <c r="D200" i="61" s="1"/>
  <c r="D201" i="61" s="1"/>
  <c r="D202" i="61" s="1"/>
  <c r="D203" i="61" s="1"/>
  <c r="D204" i="61" s="1"/>
  <c r="H169" i="61" s="1"/>
  <c r="M29" i="61" l="1"/>
  <c r="R29" i="61"/>
  <c r="U29" i="61"/>
  <c r="X29" i="61"/>
  <c r="H44" i="61"/>
  <c r="H129" i="61"/>
  <c r="H96" i="61"/>
  <c r="H121" i="61"/>
  <c r="H123" i="61"/>
  <c r="H48" i="61"/>
  <c r="H185" i="61"/>
  <c r="H162" i="61"/>
  <c r="H198" i="61"/>
  <c r="H143" i="61"/>
  <c r="H204" i="61"/>
  <c r="H187" i="61"/>
  <c r="H203" i="61"/>
  <c r="H164" i="61"/>
  <c r="H127" i="61"/>
  <c r="H57" i="61"/>
  <c r="H76" i="61"/>
  <c r="H120" i="61"/>
  <c r="H158" i="61"/>
  <c r="H103" i="61"/>
  <c r="H59" i="61"/>
  <c r="H201" i="61"/>
  <c r="H95" i="61"/>
  <c r="H124" i="61"/>
  <c r="H165" i="61"/>
  <c r="H159" i="61"/>
  <c r="H174" i="61"/>
  <c r="H131" i="61"/>
  <c r="H3" i="61"/>
  <c r="H6" i="61"/>
  <c r="H5" i="61"/>
  <c r="H9" i="61"/>
  <c r="H4" i="61"/>
  <c r="H8" i="61"/>
  <c r="H7" i="61"/>
  <c r="H17" i="61"/>
  <c r="H14" i="61"/>
  <c r="H26" i="61"/>
  <c r="H10" i="61"/>
  <c r="H70" i="61"/>
  <c r="H104" i="61"/>
  <c r="H39" i="61"/>
  <c r="H43" i="61"/>
  <c r="H90" i="61"/>
  <c r="H99" i="61"/>
  <c r="H51" i="61"/>
  <c r="H12" i="61"/>
  <c r="H50" i="61"/>
  <c r="H11" i="61"/>
  <c r="H147" i="61"/>
  <c r="H27" i="61"/>
  <c r="H37" i="61"/>
  <c r="H49" i="61"/>
  <c r="H23" i="61"/>
  <c r="H46" i="61"/>
  <c r="H25" i="61"/>
  <c r="H107" i="61"/>
  <c r="H42" i="61"/>
  <c r="H72" i="61"/>
  <c r="H60" i="61"/>
  <c r="H36" i="61"/>
  <c r="H47" i="61"/>
  <c r="H15" i="61"/>
  <c r="H18" i="61"/>
  <c r="H45" i="61"/>
  <c r="H30" i="61"/>
  <c r="H133" i="61"/>
  <c r="H31" i="61"/>
  <c r="H19" i="61"/>
  <c r="H16" i="61"/>
  <c r="H89" i="61"/>
  <c r="H98" i="61"/>
  <c r="H24" i="61"/>
  <c r="H29" i="61"/>
  <c r="H71" i="61"/>
  <c r="H13" i="61"/>
  <c r="H20" i="61"/>
  <c r="H55" i="61"/>
  <c r="H65" i="61"/>
  <c r="H54" i="61"/>
  <c r="H21" i="61"/>
  <c r="H35" i="61"/>
  <c r="H109" i="61"/>
  <c r="H40" i="61"/>
  <c r="H52" i="61"/>
  <c r="H77" i="61"/>
  <c r="H83" i="61"/>
  <c r="H32" i="61"/>
  <c r="H33" i="61"/>
  <c r="H38" i="61"/>
  <c r="H81" i="61"/>
  <c r="H22" i="61"/>
  <c r="H53" i="61"/>
  <c r="H87" i="61"/>
  <c r="H28" i="61"/>
  <c r="H34" i="61"/>
  <c r="H56" i="61"/>
  <c r="H186" i="61"/>
  <c r="H114" i="61"/>
  <c r="H153" i="61"/>
  <c r="H75" i="61"/>
  <c r="H166" i="61"/>
  <c r="H163" i="61"/>
  <c r="H205" i="61"/>
  <c r="H126" i="61"/>
  <c r="H91" i="61"/>
  <c r="H154" i="61"/>
  <c r="H150" i="61"/>
  <c r="H144" i="61"/>
  <c r="H88" i="61"/>
  <c r="H188" i="61"/>
  <c r="H101" i="61"/>
  <c r="H116" i="61"/>
  <c r="H135" i="61"/>
  <c r="H68" i="61"/>
  <c r="H152" i="61"/>
  <c r="H141" i="61"/>
  <c r="H190" i="61"/>
  <c r="H80" i="61"/>
  <c r="H130" i="61"/>
  <c r="H85" i="61"/>
  <c r="H79" i="61"/>
  <c r="H176" i="61"/>
  <c r="H197" i="61"/>
  <c r="H148" i="61"/>
  <c r="H179" i="61"/>
  <c r="H118" i="61"/>
  <c r="H92" i="61"/>
  <c r="H155" i="61"/>
  <c r="H171" i="61"/>
  <c r="H139" i="61"/>
  <c r="H136" i="61"/>
  <c r="H177" i="61"/>
  <c r="H58" i="61"/>
  <c r="H94" i="61"/>
  <c r="H200" i="61"/>
  <c r="H117" i="61"/>
  <c r="H194" i="61"/>
  <c r="H183" i="61"/>
  <c r="H78" i="61"/>
  <c r="H66" i="61"/>
  <c r="H73" i="61"/>
  <c r="H119" i="61"/>
  <c r="H134" i="61"/>
  <c r="H102" i="61"/>
  <c r="H191" i="61"/>
  <c r="H184" i="61"/>
  <c r="H113" i="61"/>
  <c r="H199" i="61"/>
  <c r="H74" i="61"/>
  <c r="H106" i="61"/>
  <c r="H137" i="61"/>
  <c r="H125" i="61"/>
  <c r="H69" i="61"/>
  <c r="H160" i="61"/>
  <c r="H196" i="61"/>
  <c r="H175" i="61"/>
  <c r="H111" i="61"/>
  <c r="H132" i="61"/>
  <c r="H100" i="61"/>
  <c r="H41" i="61"/>
  <c r="H122" i="61"/>
  <c r="H192" i="61"/>
  <c r="H61" i="61"/>
  <c r="H62" i="61"/>
  <c r="H195" i="61"/>
  <c r="H156" i="61"/>
  <c r="H64" i="61"/>
  <c r="H128" i="61"/>
  <c r="H178" i="61"/>
  <c r="H157" i="61"/>
  <c r="H112" i="61"/>
  <c r="H167" i="61"/>
  <c r="H108" i="61"/>
  <c r="H82" i="61"/>
  <c r="H173" i="61"/>
  <c r="H115" i="61"/>
  <c r="H146" i="61"/>
  <c r="H105" i="61"/>
  <c r="H151" i="61"/>
  <c r="H93" i="61"/>
  <c r="H170" i="61"/>
  <c r="H97" i="61"/>
  <c r="H193" i="61"/>
  <c r="H84" i="61"/>
  <c r="H182" i="61"/>
  <c r="H142" i="61"/>
  <c r="H168" i="61"/>
  <c r="H67" i="61"/>
  <c r="H180" i="61"/>
  <c r="H161" i="61"/>
  <c r="H110" i="61"/>
  <c r="H138" i="61"/>
  <c r="H181" i="61"/>
  <c r="H202" i="61"/>
  <c r="H63" i="61"/>
  <c r="H149" i="61"/>
  <c r="H140" i="61"/>
  <c r="H189" i="61"/>
  <c r="H86" i="61"/>
  <c r="H172" i="61"/>
  <c r="H145" i="61"/>
  <c r="F13" i="38" l="1"/>
  <c r="N79" i="62" s="1"/>
  <c r="M30" i="61"/>
  <c r="X30" i="61"/>
  <c r="R30" i="61"/>
  <c r="U30" i="61"/>
  <c r="G2" i="61"/>
  <c r="M31" i="61" l="1"/>
  <c r="U31" i="61"/>
  <c r="X31" i="61"/>
  <c r="R31" i="61"/>
  <c r="M32" i="61" l="1"/>
  <c r="U32" i="61"/>
  <c r="X32" i="61"/>
  <c r="R32" i="61"/>
  <c r="M33" i="61" l="1"/>
  <c r="U33" i="61"/>
  <c r="X33" i="61"/>
  <c r="R33" i="61"/>
  <c r="M34" i="61" l="1"/>
  <c r="U34" i="61"/>
  <c r="R34" i="61"/>
  <c r="X34" i="61"/>
  <c r="M35" i="61" l="1"/>
  <c r="R35" i="61"/>
  <c r="U35" i="61"/>
  <c r="X35" i="61"/>
  <c r="M36" i="61" l="1"/>
  <c r="R36" i="61"/>
  <c r="U36" i="61"/>
  <c r="X36" i="61"/>
  <c r="B10" i="62" l="1"/>
  <c r="M37" i="61"/>
  <c r="X37" i="61"/>
  <c r="R37" i="61"/>
  <c r="U37" i="61"/>
  <c r="M38" i="61" l="1"/>
  <c r="X38" i="61"/>
  <c r="U38" i="61"/>
  <c r="R38" i="61"/>
  <c r="M39" i="61" l="1"/>
  <c r="X39" i="61"/>
  <c r="R39" i="61"/>
  <c r="U39" i="61"/>
  <c r="M40" i="61" l="1"/>
  <c r="U40" i="61"/>
  <c r="R40" i="61"/>
  <c r="X40" i="61"/>
  <c r="M41" i="61" l="1"/>
  <c r="U41" i="61"/>
  <c r="R41" i="61"/>
  <c r="X41" i="61"/>
  <c r="M42" i="61" l="1"/>
  <c r="R42" i="61"/>
  <c r="X42" i="61"/>
  <c r="U42" i="61"/>
  <c r="M43" i="61" l="1"/>
  <c r="U43" i="61"/>
  <c r="X43" i="61"/>
  <c r="R43" i="61"/>
  <c r="M44" i="61" l="1"/>
  <c r="R44" i="61"/>
  <c r="X44" i="61"/>
  <c r="U44" i="61"/>
  <c r="M45" i="61" l="1"/>
  <c r="X45" i="61"/>
  <c r="R45" i="61"/>
  <c r="U45" i="61"/>
  <c r="M46" i="61" l="1"/>
  <c r="R46" i="61"/>
  <c r="U46" i="61"/>
  <c r="X46" i="61"/>
  <c r="M47" i="61" l="1"/>
  <c r="U47" i="61"/>
  <c r="X47" i="61"/>
  <c r="R47" i="61"/>
  <c r="M48" i="61" l="1"/>
  <c r="R48" i="61"/>
  <c r="X48" i="61"/>
  <c r="U48" i="61"/>
  <c r="M49" i="61" l="1"/>
  <c r="U49" i="61"/>
  <c r="R49" i="61"/>
  <c r="X49" i="61"/>
  <c r="M50" i="61" l="1"/>
  <c r="U50" i="61"/>
  <c r="R50" i="61"/>
  <c r="X50" i="61"/>
  <c r="M51" i="61" l="1"/>
  <c r="X51" i="61"/>
  <c r="U51" i="61"/>
  <c r="R51" i="61"/>
  <c r="M52" i="61" l="1"/>
  <c r="X52" i="61"/>
  <c r="R52" i="61"/>
  <c r="U52" i="61"/>
  <c r="M53" i="61" l="1"/>
  <c r="X53" i="61"/>
  <c r="R53" i="61"/>
  <c r="U53" i="61"/>
  <c r="M54" i="61" l="1"/>
  <c r="U54" i="61"/>
  <c r="R54" i="61"/>
  <c r="X54" i="61"/>
  <c r="M55" i="61" l="1"/>
  <c r="X55" i="61"/>
  <c r="U55" i="61"/>
  <c r="R55" i="61"/>
  <c r="M56" i="61" l="1"/>
  <c r="R56" i="61"/>
  <c r="X56" i="61"/>
  <c r="U56" i="61"/>
  <c r="M57" i="61" l="1"/>
  <c r="R57" i="61"/>
  <c r="X57" i="61"/>
  <c r="U57" i="61"/>
  <c r="M58" i="61" l="1"/>
  <c r="U58" i="61"/>
  <c r="R58" i="61"/>
  <c r="X58" i="61"/>
  <c r="M59" i="61" l="1"/>
  <c r="X59" i="61"/>
  <c r="U59" i="61"/>
  <c r="R59" i="61"/>
  <c r="M60" i="61" l="1"/>
  <c r="R60" i="61"/>
  <c r="U60" i="61"/>
  <c r="X60" i="61"/>
  <c r="M61" i="61" l="1"/>
  <c r="X61" i="61"/>
  <c r="R61" i="61"/>
  <c r="U61" i="61"/>
  <c r="M62" i="61" l="1"/>
  <c r="U62" i="61"/>
  <c r="X62" i="61"/>
  <c r="R62" i="61"/>
  <c r="M63" i="61" l="1"/>
  <c r="X63" i="61"/>
  <c r="U63" i="61"/>
  <c r="R63" i="61"/>
  <c r="M64" i="61" l="1"/>
  <c r="X64" i="61"/>
  <c r="U64" i="61"/>
  <c r="R64" i="61"/>
  <c r="M65" i="61" l="1"/>
  <c r="U65" i="61"/>
  <c r="R65" i="61"/>
  <c r="X65" i="61"/>
  <c r="M66" i="61" l="1"/>
  <c r="R66" i="61"/>
  <c r="U66" i="61"/>
  <c r="X66" i="61"/>
  <c r="M67" i="61" l="1"/>
  <c r="X67" i="61"/>
  <c r="R67" i="61"/>
  <c r="U67" i="61"/>
  <c r="M68" i="61" l="1"/>
  <c r="U68" i="61"/>
  <c r="R68" i="61"/>
  <c r="X68" i="61"/>
  <c r="M69" i="61" l="1"/>
  <c r="R69" i="61"/>
  <c r="X69" i="61"/>
  <c r="U69" i="61"/>
  <c r="M70" i="61" l="1"/>
  <c r="R70" i="61"/>
  <c r="U70" i="61"/>
  <c r="X70" i="61"/>
  <c r="M71" i="61" l="1"/>
  <c r="U71" i="61"/>
  <c r="X71" i="61"/>
  <c r="R71" i="61"/>
  <c r="M72" i="61" l="1"/>
  <c r="R72" i="61"/>
  <c r="X72" i="61"/>
  <c r="U72" i="61"/>
  <c r="M73" i="61" l="1"/>
  <c r="U73" i="61"/>
  <c r="R73" i="61"/>
  <c r="X73" i="61"/>
  <c r="M74" i="61" l="1"/>
  <c r="U74" i="61"/>
  <c r="R74" i="61"/>
  <c r="X74" i="61"/>
  <c r="M75" i="61" l="1"/>
  <c r="X75" i="61"/>
  <c r="R75" i="61"/>
  <c r="U75" i="61"/>
  <c r="M76" i="61" l="1"/>
  <c r="R76" i="61"/>
  <c r="U76" i="61"/>
  <c r="X76" i="61"/>
  <c r="M77" i="61" l="1"/>
  <c r="X77" i="61"/>
  <c r="R77" i="61"/>
  <c r="U77" i="61"/>
  <c r="M78" i="61" l="1"/>
  <c r="U78" i="61"/>
  <c r="R78" i="61"/>
  <c r="X78" i="61"/>
  <c r="M79" i="61" l="1"/>
  <c r="X79" i="61"/>
  <c r="R79" i="61"/>
  <c r="U79" i="61"/>
  <c r="M80" i="61" l="1"/>
  <c r="X80" i="61"/>
  <c r="U80" i="61"/>
  <c r="R80" i="61"/>
  <c r="M81" i="61" l="1"/>
  <c r="R81" i="61"/>
  <c r="X81" i="61"/>
  <c r="U81" i="61"/>
  <c r="M82" i="61" l="1"/>
  <c r="U82" i="61"/>
  <c r="R82" i="61"/>
  <c r="X82" i="61"/>
  <c r="M83" i="61" l="1"/>
  <c r="U83" i="61"/>
  <c r="X83" i="61"/>
  <c r="R83" i="61"/>
  <c r="M84" i="61" l="1"/>
  <c r="R84" i="61"/>
  <c r="U84" i="61"/>
  <c r="X84" i="61"/>
  <c r="M85" i="61" l="1"/>
  <c r="X85" i="61"/>
  <c r="R85" i="61"/>
  <c r="U85" i="61"/>
  <c r="M86" i="61" l="1"/>
  <c r="X86" i="61"/>
  <c r="U86" i="61"/>
  <c r="R86" i="61"/>
  <c r="M87" i="61" l="1"/>
  <c r="U87" i="61"/>
  <c r="X87" i="61"/>
  <c r="R87" i="61"/>
  <c r="M88" i="61" l="1"/>
  <c r="X88" i="61"/>
  <c r="U88" i="61"/>
  <c r="R88" i="61"/>
  <c r="M89" i="61" l="1"/>
  <c r="U89" i="61"/>
  <c r="R89" i="61"/>
  <c r="X89" i="61"/>
  <c r="M90" i="61" l="1"/>
  <c r="U90" i="61"/>
  <c r="X90" i="61"/>
  <c r="R90" i="61"/>
  <c r="M91" i="61" l="1"/>
  <c r="X91" i="61"/>
  <c r="U91" i="61"/>
  <c r="R91" i="61"/>
  <c r="M92" i="61" l="1"/>
  <c r="X92" i="61"/>
  <c r="U92" i="61"/>
  <c r="R92" i="61"/>
  <c r="M93" i="61" l="1"/>
  <c r="U93" i="61"/>
  <c r="X93" i="61"/>
  <c r="R93" i="61"/>
  <c r="M94" i="61" l="1"/>
  <c r="U94" i="61"/>
  <c r="X94" i="61"/>
  <c r="R94" i="61"/>
  <c r="M95" i="61" l="1"/>
  <c r="U95" i="61"/>
  <c r="R95" i="61"/>
  <c r="X95" i="61"/>
  <c r="M96" i="61" l="1"/>
  <c r="R96" i="61"/>
  <c r="U96" i="61"/>
  <c r="X96" i="61"/>
  <c r="M97" i="61" l="1"/>
  <c r="R97" i="61"/>
  <c r="X97" i="61"/>
  <c r="U97" i="61"/>
  <c r="M98" i="61" l="1"/>
  <c r="X98" i="61"/>
  <c r="R98" i="61"/>
  <c r="U98" i="61"/>
  <c r="M99" i="61" l="1"/>
  <c r="X99" i="61"/>
  <c r="U99" i="61"/>
  <c r="R99" i="61"/>
  <c r="M100" i="61" l="1"/>
  <c r="U100" i="61"/>
  <c r="R100" i="61"/>
  <c r="X100" i="61"/>
  <c r="M101" i="61" l="1"/>
  <c r="X101" i="61"/>
  <c r="R101" i="61"/>
  <c r="U101" i="61"/>
  <c r="M102" i="61" l="1"/>
  <c r="R102" i="61"/>
  <c r="U102" i="61"/>
  <c r="X102" i="61"/>
  <c r="M103" i="61" l="1"/>
  <c r="U103" i="61"/>
  <c r="X103" i="61"/>
  <c r="R103" i="61"/>
  <c r="M104" i="61" l="1"/>
  <c r="U104" i="61"/>
  <c r="R104" i="61"/>
  <c r="X104" i="61"/>
  <c r="M105" i="61" l="1"/>
  <c r="U105" i="61"/>
  <c r="X105" i="61"/>
  <c r="R105" i="61"/>
  <c r="M106" i="61" l="1"/>
  <c r="X106" i="61"/>
  <c r="R106" i="61"/>
  <c r="U106" i="61"/>
  <c r="M107" i="61" l="1"/>
  <c r="X107" i="61"/>
  <c r="U107" i="61"/>
  <c r="R107" i="61"/>
  <c r="M108" i="61" l="1"/>
  <c r="R108" i="61"/>
  <c r="X108" i="61"/>
  <c r="U108" i="61"/>
  <c r="M109" i="61" l="1"/>
  <c r="U109" i="61"/>
  <c r="X109" i="61"/>
  <c r="R109" i="61"/>
  <c r="M110" i="61" l="1"/>
  <c r="X110" i="61"/>
  <c r="U110" i="61"/>
  <c r="R110" i="61"/>
  <c r="M111" i="61" l="1"/>
  <c r="U111" i="61"/>
  <c r="X111" i="61"/>
  <c r="R111" i="61"/>
  <c r="M112" i="61" l="1"/>
  <c r="R112" i="61"/>
  <c r="U112" i="61"/>
  <c r="X112" i="61"/>
  <c r="M113" i="61" l="1"/>
  <c r="U113" i="61"/>
  <c r="X113" i="61"/>
  <c r="R113" i="61"/>
  <c r="M114" i="61" l="1"/>
  <c r="R114" i="61"/>
  <c r="X114" i="61"/>
  <c r="U114" i="61"/>
  <c r="M115" i="61" l="1"/>
  <c r="U115" i="61"/>
  <c r="X115" i="61"/>
  <c r="R115" i="61"/>
  <c r="M116" i="61" l="1"/>
  <c r="U116" i="61"/>
  <c r="X116" i="61"/>
  <c r="R116" i="61"/>
  <c r="M117" i="61" l="1"/>
  <c r="X117" i="61"/>
  <c r="U117" i="61"/>
  <c r="R117" i="61"/>
  <c r="M118" i="61" l="1"/>
  <c r="X118" i="61"/>
  <c r="U118" i="61"/>
  <c r="R118" i="61"/>
  <c r="M119" i="61" l="1"/>
  <c r="X119" i="61"/>
  <c r="U119" i="61"/>
  <c r="R119" i="61"/>
  <c r="M120" i="61" l="1"/>
  <c r="X120" i="61"/>
  <c r="U120" i="61"/>
  <c r="R120" i="61"/>
  <c r="M121" i="61" l="1"/>
  <c r="U121" i="61"/>
  <c r="X121" i="61"/>
  <c r="R121" i="61"/>
  <c r="M122" i="61" l="1"/>
  <c r="R122" i="61"/>
  <c r="U122" i="61"/>
  <c r="X122" i="61"/>
  <c r="M123" i="61" l="1"/>
  <c r="R123" i="61"/>
  <c r="X123" i="61"/>
  <c r="U123" i="61"/>
  <c r="M124" i="61" l="1"/>
  <c r="U124" i="61"/>
  <c r="X124" i="61"/>
  <c r="R124" i="61"/>
  <c r="M125" i="61" l="1"/>
  <c r="R125" i="61"/>
  <c r="X125" i="61"/>
  <c r="U125" i="61"/>
  <c r="M126" i="61" l="1"/>
  <c r="X126" i="61"/>
  <c r="U126" i="61"/>
  <c r="R126" i="61"/>
  <c r="M127" i="61" l="1"/>
  <c r="U127" i="61"/>
  <c r="X127" i="61"/>
  <c r="R127" i="61"/>
  <c r="M128" i="61" l="1"/>
  <c r="R128" i="61"/>
  <c r="X128" i="61"/>
  <c r="U128" i="61"/>
  <c r="M129" i="61" l="1"/>
  <c r="X129" i="61"/>
  <c r="U129" i="61"/>
  <c r="R129" i="61"/>
  <c r="M130" i="61" l="1"/>
  <c r="X130" i="61"/>
  <c r="R130" i="61"/>
  <c r="U130" i="61"/>
  <c r="M131" i="61" l="1"/>
  <c r="X131" i="61"/>
  <c r="R131" i="61"/>
  <c r="U131" i="61"/>
  <c r="M132" i="61" l="1"/>
  <c r="R132" i="61"/>
  <c r="X132" i="61"/>
  <c r="U132" i="61"/>
  <c r="M133" i="61" l="1"/>
  <c r="X133" i="61"/>
  <c r="R133" i="61"/>
  <c r="U133" i="61"/>
  <c r="M134" i="61" l="1"/>
  <c r="U134" i="61"/>
  <c r="X134" i="61"/>
  <c r="R134" i="61"/>
  <c r="M135" i="61" l="1"/>
  <c r="X135" i="61"/>
  <c r="U135" i="61"/>
  <c r="R135" i="61"/>
  <c r="M136" i="61" l="1"/>
  <c r="U136" i="61"/>
  <c r="X136" i="61"/>
  <c r="R136" i="61"/>
  <c r="M137" i="61" l="1"/>
  <c r="X137" i="61"/>
  <c r="R137" i="61"/>
  <c r="U137" i="61"/>
  <c r="M138" i="61" l="1"/>
  <c r="U138" i="61"/>
  <c r="R138" i="61"/>
  <c r="X138" i="61"/>
  <c r="M139" i="61" l="1"/>
  <c r="X139" i="61"/>
  <c r="U139" i="61"/>
  <c r="R139" i="61"/>
  <c r="M140" i="61" l="1"/>
  <c r="U140" i="61"/>
  <c r="X140" i="61"/>
  <c r="R140" i="61"/>
  <c r="M141" i="61" l="1"/>
  <c r="U141" i="61"/>
  <c r="R141" i="61"/>
  <c r="X141" i="61"/>
  <c r="M142" i="61" l="1"/>
  <c r="X142" i="61"/>
  <c r="U142" i="61"/>
  <c r="R142" i="61"/>
  <c r="M143" i="61" l="1"/>
  <c r="R143" i="61"/>
  <c r="X143" i="61"/>
  <c r="U143" i="61"/>
  <c r="M144" i="61" l="1"/>
  <c r="R144" i="61"/>
  <c r="U144" i="61"/>
  <c r="X144" i="61"/>
  <c r="M145" i="61" l="1"/>
  <c r="U145" i="61"/>
  <c r="X145" i="61"/>
  <c r="R145" i="61"/>
  <c r="M146" i="61" l="1"/>
  <c r="R146" i="61"/>
  <c r="U146" i="61"/>
  <c r="X146" i="61"/>
  <c r="M147" i="61" l="1"/>
  <c r="X147" i="61"/>
  <c r="U147" i="61"/>
  <c r="R147" i="61"/>
  <c r="M148" i="61" l="1"/>
  <c r="X148" i="61"/>
  <c r="R148" i="61"/>
  <c r="U148" i="61"/>
  <c r="M149" i="61" l="1"/>
  <c r="X149" i="61"/>
  <c r="R149" i="61"/>
  <c r="U149" i="61"/>
  <c r="M150" i="61" l="1"/>
  <c r="R150" i="61"/>
  <c r="X150" i="61"/>
  <c r="U150" i="61"/>
  <c r="M151" i="61" l="1"/>
  <c r="U151" i="61"/>
  <c r="X151" i="61"/>
  <c r="R151" i="61"/>
  <c r="M152" i="61" l="1"/>
  <c r="X152" i="61"/>
  <c r="R152" i="61"/>
  <c r="U152" i="61"/>
  <c r="M153" i="61" l="1"/>
  <c r="X153" i="61"/>
  <c r="R153" i="61"/>
  <c r="U153" i="61"/>
  <c r="M154" i="61" l="1"/>
  <c r="X154" i="61"/>
  <c r="U154" i="61"/>
  <c r="R154" i="61"/>
  <c r="M155" i="61" l="1"/>
  <c r="X155" i="61"/>
  <c r="U155" i="61"/>
  <c r="R155" i="61"/>
  <c r="M156" i="61" l="1"/>
  <c r="X156" i="61"/>
  <c r="U156" i="61"/>
  <c r="R156" i="61"/>
  <c r="M157" i="61" l="1"/>
  <c r="U157" i="61"/>
  <c r="X157" i="61"/>
  <c r="R157" i="61"/>
  <c r="M158" i="61" l="1"/>
  <c r="X158" i="61"/>
  <c r="R158" i="61"/>
  <c r="U158" i="61"/>
  <c r="M159" i="61" l="1"/>
  <c r="R159" i="61"/>
  <c r="U159" i="61"/>
  <c r="X159" i="61"/>
  <c r="M160" i="61" l="1"/>
  <c r="U160" i="61"/>
  <c r="X160" i="61"/>
  <c r="R160" i="61"/>
  <c r="M161" i="61" l="1"/>
  <c r="U161" i="61"/>
  <c r="X161" i="61"/>
  <c r="R161" i="61"/>
  <c r="M162" i="61" l="1"/>
  <c r="X162" i="61"/>
  <c r="R162" i="61"/>
  <c r="U162" i="61"/>
  <c r="M163" i="61" l="1"/>
  <c r="X163" i="61"/>
  <c r="U163" i="61"/>
  <c r="R163" i="61"/>
  <c r="M164" i="61" l="1"/>
  <c r="R164" i="61"/>
  <c r="U164" i="61"/>
  <c r="X164" i="61"/>
  <c r="M165" i="61" l="1"/>
  <c r="X165" i="61"/>
  <c r="R165" i="61"/>
  <c r="U165" i="61"/>
  <c r="M166" i="61" l="1"/>
  <c r="U166" i="61"/>
  <c r="R166" i="61"/>
  <c r="X166" i="61"/>
  <c r="M167" i="61" l="1"/>
  <c r="X167" i="61"/>
  <c r="R167" i="61"/>
  <c r="U167" i="61"/>
  <c r="M168" i="61" l="1"/>
  <c r="U168" i="61"/>
  <c r="X168" i="61"/>
  <c r="R168" i="61"/>
  <c r="M169" i="61" l="1"/>
  <c r="X169" i="61"/>
  <c r="U169" i="61"/>
  <c r="R169" i="61"/>
  <c r="M170" i="61" l="1"/>
  <c r="R170" i="61"/>
  <c r="U170" i="61"/>
  <c r="X170" i="61"/>
  <c r="M171" i="61" l="1"/>
  <c r="X171" i="61"/>
  <c r="U171" i="61"/>
  <c r="R171" i="61"/>
  <c r="M172" i="61" l="1"/>
  <c r="X172" i="61"/>
  <c r="U172" i="61"/>
  <c r="R172" i="61"/>
  <c r="M173" i="61" l="1"/>
  <c r="X173" i="61"/>
  <c r="U173" i="61"/>
  <c r="R173" i="61"/>
  <c r="M174" i="61" l="1"/>
  <c r="R174" i="61"/>
  <c r="U174" i="61"/>
  <c r="X174" i="61"/>
  <c r="M175" i="61" l="1"/>
  <c r="X175" i="61"/>
  <c r="R175" i="61"/>
  <c r="U175" i="61"/>
  <c r="M176" i="61" l="1"/>
  <c r="U176" i="61"/>
  <c r="X176" i="61"/>
  <c r="R176" i="61"/>
  <c r="M177" i="61" l="1"/>
  <c r="R177" i="61"/>
  <c r="U177" i="61"/>
  <c r="X177" i="61"/>
  <c r="M178" i="61" l="1"/>
  <c r="X178" i="61"/>
  <c r="U178" i="61"/>
  <c r="R178" i="61"/>
  <c r="M179" i="61" l="1"/>
  <c r="U179" i="61"/>
  <c r="R179" i="61"/>
  <c r="X179" i="61"/>
  <c r="M180" i="61" l="1"/>
  <c r="R180" i="61"/>
  <c r="U180" i="61"/>
  <c r="X180" i="61"/>
  <c r="M181" i="61" l="1"/>
  <c r="X181" i="61"/>
  <c r="U181" i="61"/>
  <c r="R181" i="61"/>
  <c r="M182" i="61" l="1"/>
  <c r="X182" i="61"/>
  <c r="R182" i="61"/>
  <c r="U182" i="61"/>
  <c r="M183" i="61" l="1"/>
  <c r="R183" i="61"/>
  <c r="U183" i="61"/>
  <c r="X183" i="61"/>
  <c r="M184" i="61" l="1"/>
  <c r="U184" i="61"/>
  <c r="R184" i="61"/>
  <c r="X184" i="61"/>
  <c r="M185" i="61" l="1"/>
  <c r="X185" i="61"/>
  <c r="R185" i="61"/>
  <c r="U185" i="61"/>
  <c r="M186" i="61" l="1"/>
  <c r="U186" i="61"/>
  <c r="X186" i="61"/>
  <c r="R186" i="61"/>
  <c r="M187" i="61" l="1"/>
  <c r="X187" i="61"/>
  <c r="R187" i="61"/>
  <c r="U187" i="61"/>
  <c r="M188" i="61" l="1"/>
  <c r="U188" i="61"/>
  <c r="R188" i="61"/>
  <c r="X188" i="61"/>
  <c r="M189" i="61" l="1"/>
  <c r="U189" i="61"/>
  <c r="X189" i="61"/>
  <c r="R189" i="61"/>
  <c r="M190" i="61" l="1"/>
  <c r="R190" i="61"/>
  <c r="U190" i="61"/>
  <c r="X190" i="61"/>
  <c r="M191" i="61" l="1"/>
  <c r="U191" i="61"/>
  <c r="R191" i="61"/>
  <c r="X191" i="61"/>
  <c r="M192" i="61" l="1"/>
  <c r="U192" i="61"/>
  <c r="X192" i="61"/>
  <c r="R192" i="61"/>
  <c r="M193" i="61" l="1"/>
  <c r="U193" i="61"/>
  <c r="X193" i="61"/>
  <c r="R193" i="61"/>
  <c r="M194" i="61" l="1"/>
  <c r="X194" i="61"/>
  <c r="U194" i="61"/>
  <c r="R194" i="61"/>
  <c r="M195" i="61" l="1"/>
  <c r="U195" i="61"/>
  <c r="R195" i="61"/>
  <c r="X195" i="61"/>
  <c r="M196" i="61" l="1"/>
  <c r="R196" i="61"/>
  <c r="X196" i="61"/>
  <c r="U196" i="61"/>
  <c r="M197" i="61" l="1"/>
  <c r="U197" i="61"/>
  <c r="X197" i="61"/>
  <c r="R197" i="61"/>
  <c r="M198" i="61" l="1"/>
  <c r="U198" i="61"/>
  <c r="R198" i="61"/>
  <c r="X198" i="61"/>
  <c r="M199" i="61" l="1"/>
  <c r="R199" i="61"/>
  <c r="X199" i="61"/>
  <c r="U199" i="61"/>
  <c r="M200" i="61" l="1"/>
  <c r="U200" i="61"/>
  <c r="R200" i="61"/>
  <c r="X200" i="61"/>
  <c r="M201" i="61" l="1"/>
  <c r="X201" i="61"/>
  <c r="U201" i="61"/>
  <c r="R201" i="61"/>
  <c r="M202" i="61" l="1"/>
  <c r="R202" i="61"/>
  <c r="U202" i="61"/>
  <c r="X202" i="61"/>
  <c r="M203" i="61" l="1"/>
  <c r="R203" i="61"/>
  <c r="X203" i="61"/>
  <c r="U203" i="61"/>
  <c r="M204" i="61" l="1"/>
  <c r="R204" i="61"/>
  <c r="U204" i="61"/>
  <c r="X204" i="61"/>
  <c r="M205" i="61" l="1"/>
  <c r="X205" i="61"/>
  <c r="R205" i="61"/>
  <c r="U205" i="61"/>
  <c r="M206" i="61" l="1"/>
  <c r="U206" i="61"/>
  <c r="R206" i="61"/>
  <c r="X206" i="61"/>
  <c r="M207" i="61" l="1"/>
  <c r="X207" i="61"/>
  <c r="U207" i="61"/>
  <c r="R207" i="61"/>
  <c r="M208" i="61" l="1"/>
  <c r="R208" i="61"/>
  <c r="X208" i="61"/>
  <c r="U208" i="61"/>
  <c r="M209" i="61" l="1"/>
  <c r="X209" i="61"/>
  <c r="U209" i="61"/>
  <c r="R209" i="61"/>
  <c r="M210" i="61" l="1"/>
  <c r="U210" i="61"/>
  <c r="R210" i="61"/>
  <c r="X210" i="61"/>
  <c r="M211" i="61" l="1"/>
  <c r="X211" i="61"/>
  <c r="R211" i="61"/>
  <c r="U211" i="61"/>
  <c r="M212" i="61" l="1"/>
  <c r="X212" i="61"/>
  <c r="U212" i="61"/>
  <c r="R212" i="61"/>
  <c r="M213" i="61" l="1"/>
  <c r="U213" i="61"/>
  <c r="R213" i="61"/>
  <c r="X213" i="61"/>
  <c r="M214" i="61" l="1"/>
  <c r="X214" i="61"/>
  <c r="U214" i="61"/>
  <c r="R214" i="61"/>
  <c r="M215" i="61" l="1"/>
  <c r="U215" i="61"/>
  <c r="R215" i="61"/>
  <c r="X215" i="61"/>
  <c r="M216" i="61" l="1"/>
  <c r="R216" i="61"/>
  <c r="U216" i="61"/>
  <c r="X216" i="61"/>
  <c r="M217" i="61" l="1"/>
  <c r="X217" i="61"/>
  <c r="U217" i="61"/>
  <c r="R217" i="61"/>
  <c r="M218" i="61" l="1"/>
  <c r="X218" i="61"/>
  <c r="U218" i="61"/>
  <c r="R218" i="61"/>
  <c r="M219" i="61" l="1"/>
  <c r="R219" i="61"/>
  <c r="X219" i="61"/>
  <c r="U219" i="61"/>
  <c r="M220" i="61" l="1"/>
  <c r="X220" i="61"/>
  <c r="R220" i="61"/>
  <c r="U220" i="61"/>
  <c r="M221" i="61" l="1"/>
  <c r="U221" i="61"/>
  <c r="X221" i="61"/>
  <c r="R221" i="61"/>
  <c r="M222" i="61" l="1"/>
  <c r="X222" i="61"/>
  <c r="R222" i="61"/>
  <c r="U222" i="61"/>
  <c r="M223" i="61" l="1"/>
  <c r="U223" i="61"/>
  <c r="X223" i="61"/>
  <c r="R223" i="61"/>
  <c r="M224" i="61" l="1"/>
  <c r="U224" i="61"/>
  <c r="R224" i="61"/>
  <c r="X224" i="61"/>
  <c r="M225" i="61" l="1"/>
  <c r="U225" i="61"/>
  <c r="R225" i="61"/>
  <c r="X225" i="61"/>
  <c r="M226" i="61" l="1"/>
  <c r="X226" i="61"/>
  <c r="U226" i="61"/>
  <c r="R226" i="61"/>
  <c r="M227" i="61" l="1"/>
  <c r="R227" i="61"/>
  <c r="X227" i="61"/>
  <c r="U227" i="61"/>
  <c r="M228" i="61" l="1"/>
  <c r="R228" i="61"/>
  <c r="U228" i="61"/>
  <c r="X228" i="61"/>
  <c r="M229" i="61" l="1"/>
  <c r="R229" i="61"/>
  <c r="U229" i="61"/>
  <c r="X229" i="61"/>
  <c r="M230" i="61" l="1"/>
  <c r="R230" i="61"/>
  <c r="X230" i="61"/>
  <c r="U230" i="61"/>
  <c r="M231" i="61" l="1"/>
  <c r="U231" i="61"/>
  <c r="X231" i="61"/>
  <c r="R231" i="61"/>
  <c r="M232" i="61" l="1"/>
  <c r="X232" i="61"/>
  <c r="R232" i="61"/>
  <c r="U232" i="61"/>
  <c r="M233" i="61" l="1"/>
  <c r="X233" i="61"/>
  <c r="R233" i="61"/>
  <c r="U233" i="61"/>
  <c r="M234" i="61" l="1"/>
  <c r="X234" i="61"/>
  <c r="R234" i="61"/>
  <c r="U234" i="61"/>
  <c r="M235" i="61" l="1"/>
  <c r="R235" i="61"/>
  <c r="U235" i="61"/>
  <c r="X235" i="61"/>
  <c r="M236" i="61" l="1"/>
  <c r="X236" i="61"/>
  <c r="R236" i="61"/>
  <c r="U236" i="61"/>
  <c r="M237" i="61" l="1"/>
  <c r="R237" i="61"/>
  <c r="U237" i="61"/>
  <c r="X237" i="61"/>
  <c r="M238" i="61" l="1"/>
  <c r="U238" i="61"/>
  <c r="R238" i="61"/>
  <c r="X238" i="61"/>
  <c r="M239" i="61" l="1"/>
  <c r="X239" i="61"/>
  <c r="U239" i="61"/>
  <c r="R239" i="61"/>
  <c r="M240" i="61" l="1"/>
  <c r="U240" i="61"/>
  <c r="R240" i="61"/>
  <c r="X240" i="61"/>
  <c r="M241" i="61" l="1"/>
  <c r="X241" i="61"/>
  <c r="R241" i="61"/>
  <c r="U241" i="61"/>
  <c r="M242" i="61" l="1"/>
  <c r="R242" i="61"/>
  <c r="X242" i="61"/>
  <c r="U242" i="61"/>
  <c r="M243" i="61" l="1"/>
  <c r="U243" i="61"/>
  <c r="R243" i="61"/>
  <c r="X243" i="61"/>
  <c r="M244" i="61" l="1"/>
  <c r="U244" i="61"/>
  <c r="R244" i="61"/>
  <c r="X244" i="61"/>
  <c r="M245" i="61" l="1"/>
  <c r="R245" i="61"/>
  <c r="U245" i="61"/>
  <c r="X245" i="61"/>
  <c r="M246" i="61" l="1"/>
  <c r="X246" i="61"/>
  <c r="U246" i="61"/>
  <c r="R246" i="61"/>
  <c r="M247" i="61" l="1"/>
  <c r="X247" i="61"/>
  <c r="U247" i="61"/>
  <c r="R247" i="61"/>
  <c r="M248" i="61" l="1"/>
  <c r="X248" i="61"/>
  <c r="R248" i="61"/>
  <c r="U248" i="61"/>
  <c r="M249" i="61" l="1"/>
  <c r="U249" i="61"/>
  <c r="X249" i="61"/>
  <c r="R249" i="61"/>
  <c r="M250" i="61" l="1"/>
  <c r="U250" i="61"/>
  <c r="X250" i="61"/>
  <c r="R250" i="61"/>
  <c r="M251" i="61" l="1"/>
  <c r="X251" i="61"/>
  <c r="R251" i="61"/>
  <c r="U251" i="61"/>
  <c r="M252" i="61" l="1"/>
  <c r="U252" i="61"/>
  <c r="R252" i="61"/>
  <c r="X252" i="61"/>
  <c r="M253" i="61" l="1"/>
  <c r="R253" i="61"/>
  <c r="X253" i="61"/>
  <c r="U253" i="61"/>
  <c r="M254" i="61" l="1"/>
  <c r="R254" i="61"/>
  <c r="X254" i="61"/>
  <c r="U254" i="61"/>
  <c r="M255" i="61" l="1"/>
  <c r="R255" i="61"/>
  <c r="U255" i="61"/>
  <c r="X255" i="61"/>
  <c r="M256" i="61" l="1"/>
  <c r="X256" i="61"/>
  <c r="U256" i="61"/>
  <c r="R256" i="61"/>
  <c r="M257" i="61" l="1"/>
  <c r="X257" i="61"/>
  <c r="U257" i="61"/>
  <c r="R257" i="61"/>
  <c r="M258" i="61" l="1"/>
  <c r="X258" i="61"/>
  <c r="R258" i="61"/>
  <c r="U258" i="61"/>
  <c r="M259" i="61" l="1"/>
  <c r="U259" i="61"/>
  <c r="R259" i="61"/>
  <c r="X259" i="61"/>
  <c r="M260" i="61" l="1"/>
  <c r="X260" i="61"/>
  <c r="U260" i="61"/>
  <c r="R260" i="61"/>
  <c r="M261" i="61" l="1"/>
  <c r="U261" i="61"/>
  <c r="X261" i="61"/>
  <c r="R261" i="61"/>
  <c r="M262" i="61" l="1"/>
  <c r="R262" i="61"/>
  <c r="U262" i="61"/>
  <c r="X262" i="61"/>
  <c r="M263" i="61" l="1"/>
  <c r="R263" i="61"/>
  <c r="U263" i="61"/>
  <c r="X263" i="61"/>
  <c r="M264" i="61" l="1"/>
  <c r="U264" i="61"/>
  <c r="R264" i="61"/>
  <c r="X264" i="61"/>
  <c r="M265" i="61" l="1"/>
  <c r="X265" i="61"/>
  <c r="R265" i="61"/>
  <c r="U265" i="61"/>
  <c r="M266" i="61" l="1"/>
  <c r="X266" i="61"/>
  <c r="U266" i="61"/>
  <c r="R266" i="61"/>
  <c r="M267" i="61" l="1"/>
  <c r="R267" i="61"/>
  <c r="X267" i="61"/>
  <c r="U267" i="61"/>
  <c r="M268" i="61" l="1"/>
  <c r="U268" i="61"/>
  <c r="X268" i="61"/>
  <c r="R268" i="61"/>
  <c r="M269" i="61" l="1"/>
  <c r="X269" i="61"/>
  <c r="R269" i="61"/>
  <c r="U269" i="61"/>
  <c r="M270" i="61" l="1"/>
  <c r="R270" i="61"/>
  <c r="X270" i="61"/>
  <c r="U270" i="61"/>
  <c r="M271" i="61" l="1"/>
  <c r="X271" i="61"/>
  <c r="U271" i="61"/>
  <c r="R271" i="61"/>
  <c r="M272" i="61" l="1"/>
  <c r="R272" i="61"/>
  <c r="X272" i="61"/>
  <c r="U272" i="61"/>
  <c r="M273" i="61" l="1"/>
  <c r="U273" i="61"/>
  <c r="X273" i="61"/>
  <c r="R273" i="61"/>
  <c r="M274" i="61" l="1"/>
  <c r="U274" i="61"/>
  <c r="X274" i="61"/>
  <c r="R274" i="61"/>
  <c r="M275" i="61" l="1"/>
  <c r="X275" i="61"/>
  <c r="R275" i="61"/>
  <c r="U275" i="61"/>
  <c r="M276" i="61" l="1"/>
  <c r="X276" i="61"/>
  <c r="R276" i="61"/>
  <c r="U276" i="61"/>
  <c r="M277" i="61" l="1"/>
  <c r="R277" i="61"/>
  <c r="U277" i="61"/>
  <c r="X277" i="61"/>
  <c r="M278" i="61" l="1"/>
  <c r="U278" i="61"/>
  <c r="X278" i="61"/>
  <c r="R278" i="61"/>
  <c r="M279" i="61" l="1"/>
  <c r="R279" i="61"/>
  <c r="X279" i="61"/>
  <c r="U279" i="61"/>
  <c r="M280" i="61" l="1"/>
  <c r="R280" i="61"/>
  <c r="X280" i="61"/>
  <c r="U280" i="61"/>
  <c r="M281" i="61" l="1"/>
  <c r="R281" i="61"/>
  <c r="U281" i="61"/>
  <c r="X281" i="61"/>
  <c r="M282" i="61" l="1"/>
  <c r="U282" i="61"/>
  <c r="X282" i="61"/>
  <c r="R282" i="61"/>
  <c r="M283" i="61" l="1"/>
  <c r="R283" i="61"/>
  <c r="U283" i="61"/>
  <c r="X283" i="61"/>
  <c r="M284" i="61" l="1"/>
  <c r="U284" i="61"/>
  <c r="X284" i="61"/>
  <c r="R284" i="61"/>
  <c r="M285" i="61" l="1"/>
  <c r="R285" i="61"/>
  <c r="U285" i="61"/>
  <c r="X285" i="61"/>
  <c r="M286" i="61" l="1"/>
  <c r="U286" i="61"/>
  <c r="R286" i="61"/>
  <c r="X286" i="61"/>
  <c r="M287" i="61" l="1"/>
  <c r="U287" i="61"/>
  <c r="R287" i="61"/>
  <c r="X287" i="61"/>
  <c r="M288" i="61" l="1"/>
  <c r="R288" i="61"/>
  <c r="X288" i="61"/>
  <c r="U288" i="61"/>
  <c r="M289" i="61" l="1"/>
  <c r="R289" i="61"/>
  <c r="X289" i="61"/>
  <c r="U289" i="61"/>
  <c r="M290" i="61" l="1"/>
  <c r="X290" i="61"/>
  <c r="U290" i="61"/>
  <c r="R290" i="61"/>
  <c r="M291" i="61" l="1"/>
  <c r="R291" i="61"/>
  <c r="X291" i="61"/>
  <c r="U291" i="61"/>
  <c r="M292" i="61" l="1"/>
  <c r="U292" i="61"/>
  <c r="R292" i="61"/>
  <c r="X292" i="61"/>
  <c r="M293" i="61" l="1"/>
  <c r="U293" i="61"/>
  <c r="X293" i="61"/>
  <c r="R293" i="61"/>
  <c r="M294" i="61" l="1"/>
  <c r="R294" i="61"/>
  <c r="X294" i="61"/>
  <c r="U294" i="61"/>
  <c r="M295" i="61" l="1"/>
  <c r="U295" i="61"/>
  <c r="X295" i="61"/>
  <c r="R295" i="61"/>
  <c r="M296" i="61" l="1"/>
  <c r="R296" i="61"/>
  <c r="X296" i="61"/>
  <c r="U296" i="61"/>
  <c r="M297" i="61" l="1"/>
  <c r="U297" i="61"/>
  <c r="R297" i="61"/>
  <c r="X297" i="61"/>
  <c r="M298" i="61" l="1"/>
  <c r="R298" i="61"/>
  <c r="U298" i="61"/>
  <c r="X298" i="61"/>
  <c r="M299" i="61" l="1"/>
  <c r="R299" i="61"/>
  <c r="X299" i="61"/>
  <c r="U299" i="61"/>
  <c r="M300" i="61" l="1"/>
  <c r="R300" i="61"/>
  <c r="X300" i="61"/>
  <c r="U300" i="61"/>
  <c r="M301" i="61" l="1"/>
  <c r="X301" i="61"/>
  <c r="U301" i="61"/>
  <c r="R301" i="61"/>
  <c r="M302" i="61" l="1"/>
  <c r="X302" i="61"/>
  <c r="U302" i="61"/>
  <c r="R302" i="61"/>
  <c r="M303" i="61" l="1"/>
  <c r="U303" i="61"/>
  <c r="R303" i="61"/>
  <c r="X303" i="61"/>
  <c r="M304" i="61" l="1"/>
  <c r="R304" i="61"/>
  <c r="U304" i="61"/>
  <c r="X304" i="61"/>
  <c r="M305" i="61" l="1"/>
  <c r="X305" i="61"/>
  <c r="R305" i="61"/>
  <c r="U305" i="61"/>
  <c r="M306" i="61" l="1"/>
  <c r="U306" i="61"/>
  <c r="X306" i="61"/>
  <c r="R306" i="61"/>
  <c r="M307" i="61" l="1"/>
  <c r="U307" i="61"/>
  <c r="R307" i="61"/>
  <c r="X307" i="61"/>
  <c r="M308" i="61" l="1"/>
  <c r="R308" i="61"/>
  <c r="X308" i="61"/>
  <c r="U308" i="61"/>
  <c r="M309" i="61" l="1"/>
  <c r="X309" i="61"/>
  <c r="R309" i="61"/>
  <c r="U309" i="61"/>
  <c r="M310" i="61" l="1"/>
  <c r="R310" i="61"/>
  <c r="X310" i="61"/>
  <c r="U310" i="61"/>
  <c r="M311" i="61" l="1"/>
  <c r="U311" i="61"/>
  <c r="X311" i="61"/>
  <c r="R311" i="61"/>
  <c r="M312" i="61" l="1"/>
  <c r="U312" i="61"/>
  <c r="X312" i="61"/>
  <c r="R312" i="61"/>
  <c r="M313" i="61" l="1"/>
  <c r="U313" i="61"/>
  <c r="R313" i="61"/>
  <c r="X313" i="61"/>
  <c r="M314" i="61" l="1"/>
  <c r="R314" i="61"/>
  <c r="X314" i="61"/>
  <c r="U314" i="61"/>
  <c r="M315" i="61" l="1"/>
  <c r="U315" i="61"/>
  <c r="R315" i="61"/>
  <c r="X315" i="61"/>
  <c r="M316" i="61" l="1"/>
  <c r="U316" i="61"/>
  <c r="R316" i="61"/>
  <c r="X316" i="61"/>
  <c r="M317" i="61" l="1"/>
  <c r="U317" i="61"/>
  <c r="R317" i="61"/>
  <c r="X317" i="61"/>
  <c r="M318" i="61" l="1"/>
  <c r="X318" i="61"/>
  <c r="R318" i="61"/>
  <c r="U318" i="61"/>
  <c r="M319" i="61" l="1"/>
  <c r="X319" i="61"/>
  <c r="U319" i="61"/>
  <c r="R319" i="61"/>
  <c r="M320" i="61" l="1"/>
  <c r="X320" i="61"/>
  <c r="U320" i="61"/>
  <c r="R320" i="61"/>
  <c r="M321" i="61" l="1"/>
  <c r="X321" i="61"/>
  <c r="R321" i="61"/>
  <c r="U321" i="61"/>
  <c r="M322" i="61" l="1"/>
  <c r="R322" i="61"/>
  <c r="U322" i="61"/>
  <c r="X322" i="61"/>
  <c r="M323" i="61" l="1"/>
  <c r="R323" i="61"/>
  <c r="U323" i="61"/>
  <c r="X323" i="61"/>
  <c r="M324" i="61" l="1"/>
  <c r="X324" i="61"/>
  <c r="R324" i="61"/>
  <c r="U324" i="61"/>
  <c r="M325" i="61" l="1"/>
  <c r="X325" i="61"/>
  <c r="R325" i="61"/>
  <c r="U325" i="61"/>
  <c r="M326" i="61" l="1"/>
  <c r="U326" i="61"/>
  <c r="X326" i="61"/>
  <c r="R326" i="61"/>
  <c r="M327" i="61" l="1"/>
  <c r="R327" i="61"/>
  <c r="U327" i="61"/>
  <c r="X327" i="61"/>
  <c r="M328" i="61" l="1"/>
  <c r="R328" i="61"/>
  <c r="U328" i="61"/>
  <c r="X328" i="61"/>
  <c r="M329" i="61" l="1"/>
  <c r="X329" i="61"/>
  <c r="U329" i="61"/>
  <c r="R329" i="61"/>
  <c r="M330" i="61" l="1"/>
  <c r="R330" i="61"/>
  <c r="U330" i="61"/>
  <c r="X330" i="61"/>
  <c r="M331" i="61" l="1"/>
  <c r="R331" i="61"/>
  <c r="U331" i="61"/>
  <c r="X331" i="61"/>
  <c r="M332" i="61" l="1"/>
  <c r="X332" i="61"/>
  <c r="R332" i="61"/>
  <c r="U332" i="61"/>
  <c r="M333" i="61" l="1"/>
  <c r="X333" i="61"/>
  <c r="R333" i="61"/>
  <c r="U333" i="61"/>
  <c r="M334" i="61" l="1"/>
  <c r="R334" i="61"/>
  <c r="X334" i="61"/>
  <c r="U334" i="61"/>
  <c r="M335" i="61" l="1"/>
  <c r="R335" i="61"/>
  <c r="X335" i="61"/>
  <c r="U335" i="61"/>
  <c r="M336" i="61" l="1"/>
  <c r="X336" i="61"/>
  <c r="U336" i="61"/>
  <c r="R336" i="61"/>
  <c r="M337" i="61" l="1"/>
  <c r="U337" i="61"/>
  <c r="X337" i="61"/>
  <c r="R337" i="61"/>
  <c r="M338" i="61" l="1"/>
  <c r="X338" i="61"/>
  <c r="R338" i="61"/>
  <c r="U338" i="61"/>
  <c r="M339" i="61" l="1"/>
  <c r="U339" i="61"/>
  <c r="R339" i="61"/>
  <c r="X339" i="61"/>
  <c r="M340" i="61" l="1"/>
  <c r="U340" i="61"/>
  <c r="X340" i="61"/>
  <c r="R340" i="61"/>
  <c r="M341" i="61" l="1"/>
  <c r="X341" i="61"/>
  <c r="R341" i="61"/>
  <c r="U341" i="61"/>
  <c r="M342" i="61" l="1"/>
  <c r="U342" i="61"/>
  <c r="X342" i="61"/>
  <c r="R342" i="61"/>
  <c r="M343" i="61" l="1"/>
  <c r="X343" i="61"/>
  <c r="R343" i="61"/>
  <c r="U343" i="61"/>
  <c r="M344" i="61" l="1"/>
  <c r="X344" i="61"/>
  <c r="U344" i="61"/>
  <c r="R344" i="61"/>
  <c r="M345" i="61" l="1"/>
  <c r="U345" i="61"/>
  <c r="X345" i="61"/>
  <c r="R345" i="61"/>
  <c r="M346" i="61" l="1"/>
  <c r="U346" i="61"/>
  <c r="R346" i="61"/>
  <c r="X346" i="61"/>
  <c r="M347" i="61" l="1"/>
  <c r="X347" i="61"/>
  <c r="R347" i="61"/>
  <c r="U347" i="61"/>
  <c r="M348" i="61" l="1"/>
  <c r="U348" i="61"/>
  <c r="R348" i="61"/>
  <c r="X348" i="61"/>
  <c r="M349" i="61" l="1"/>
  <c r="U349" i="61"/>
  <c r="X349" i="61"/>
  <c r="R349" i="61"/>
  <c r="M350" i="61" l="1"/>
  <c r="X350" i="61"/>
  <c r="U350" i="61"/>
  <c r="R350" i="61"/>
  <c r="M351" i="61" l="1"/>
  <c r="R351" i="61"/>
  <c r="X351" i="61"/>
  <c r="U351" i="61"/>
  <c r="M352" i="61" l="1"/>
  <c r="R352" i="61"/>
  <c r="U352" i="61"/>
  <c r="X352" i="61"/>
  <c r="M353" i="61" l="1"/>
  <c r="U353" i="61"/>
  <c r="R353" i="61"/>
  <c r="X353" i="61"/>
  <c r="M354" i="61" l="1"/>
  <c r="X354" i="61"/>
  <c r="U354" i="61"/>
  <c r="R354" i="61"/>
  <c r="M355" i="61" l="1"/>
  <c r="R355" i="61"/>
  <c r="X355" i="61"/>
  <c r="U355" i="61"/>
  <c r="M356" i="61" l="1"/>
  <c r="R356" i="61"/>
  <c r="X356" i="61"/>
  <c r="U356" i="61"/>
  <c r="M357" i="61" l="1"/>
  <c r="X357" i="61"/>
  <c r="R357" i="61"/>
  <c r="U357" i="61"/>
  <c r="M358" i="61" l="1"/>
  <c r="R358" i="61"/>
  <c r="X358" i="61"/>
  <c r="U358" i="61"/>
  <c r="M359" i="61" l="1"/>
  <c r="X359" i="61"/>
  <c r="R359" i="61"/>
  <c r="U359" i="61"/>
  <c r="M360" i="61" l="1"/>
  <c r="R360" i="61"/>
  <c r="X360" i="61"/>
  <c r="U360" i="61"/>
  <c r="M361" i="61" l="1"/>
  <c r="U361" i="61"/>
  <c r="X361" i="61"/>
  <c r="R361" i="61"/>
  <c r="M362" i="61" l="1"/>
  <c r="U362" i="61"/>
  <c r="R362" i="61"/>
  <c r="X362" i="61"/>
  <c r="M363" i="61" l="1"/>
  <c r="R363" i="61"/>
  <c r="X363" i="61"/>
  <c r="U363" i="61"/>
  <c r="M364" i="61" l="1"/>
  <c r="X364" i="61"/>
  <c r="U364" i="61"/>
  <c r="R364" i="61"/>
  <c r="M365" i="61" l="1"/>
  <c r="U365" i="61"/>
  <c r="X365" i="61"/>
  <c r="R365" i="61"/>
  <c r="M366" i="61" l="1"/>
  <c r="U366" i="61"/>
  <c r="X366" i="61"/>
  <c r="R366" i="61"/>
  <c r="M367" i="61" l="1"/>
  <c r="X367" i="61"/>
  <c r="U367" i="61"/>
  <c r="R367" i="61"/>
  <c r="M368" i="61" l="1"/>
  <c r="R368" i="61"/>
  <c r="U368" i="61"/>
  <c r="X368" i="61"/>
  <c r="M369" i="61" l="1"/>
  <c r="X369" i="61"/>
  <c r="U369" i="61"/>
  <c r="R369" i="61"/>
  <c r="M370" i="61" l="1"/>
  <c r="X370" i="61"/>
  <c r="U370" i="61"/>
  <c r="R370" i="61"/>
  <c r="M371" i="61" l="1"/>
  <c r="R371" i="61"/>
  <c r="X371" i="61"/>
  <c r="U371" i="61"/>
  <c r="M372" i="61" l="1"/>
  <c r="X372" i="61"/>
  <c r="R372" i="61"/>
  <c r="U372" i="61"/>
  <c r="M373" i="61" l="1"/>
  <c r="R373" i="61"/>
  <c r="U373" i="61"/>
  <c r="X373" i="61"/>
  <c r="M374" i="61" l="1"/>
  <c r="X374" i="61"/>
  <c r="R374" i="61"/>
  <c r="U374" i="61"/>
  <c r="M375" i="61" l="1"/>
  <c r="U375" i="61"/>
  <c r="R375" i="61"/>
  <c r="X375" i="61"/>
  <c r="M376" i="61" l="1"/>
  <c r="U376" i="61"/>
  <c r="X376" i="61"/>
  <c r="R376" i="61"/>
  <c r="M377" i="61" l="1"/>
  <c r="X377" i="61"/>
  <c r="U377" i="61"/>
  <c r="R377" i="61"/>
  <c r="M378" i="61" l="1"/>
  <c r="R378" i="61"/>
  <c r="X378" i="61"/>
  <c r="U378" i="61"/>
  <c r="M379" i="61" l="1"/>
  <c r="R379" i="61"/>
  <c r="U379" i="61"/>
  <c r="X379" i="61"/>
  <c r="M380" i="61" l="1"/>
  <c r="R380" i="61"/>
  <c r="U380" i="61"/>
  <c r="X380" i="61"/>
  <c r="M381" i="61" l="1"/>
  <c r="R381" i="61"/>
  <c r="U381" i="61"/>
  <c r="X381" i="61"/>
  <c r="M382" i="61" l="1"/>
  <c r="U382" i="61"/>
  <c r="R382" i="61"/>
  <c r="X382" i="61"/>
  <c r="M383" i="61" l="1"/>
  <c r="X383" i="61"/>
  <c r="U383" i="61"/>
  <c r="R383" i="61"/>
  <c r="M384" i="61" l="1"/>
  <c r="X384" i="61"/>
  <c r="R384" i="61"/>
  <c r="U384" i="61"/>
  <c r="M385" i="61" l="1"/>
  <c r="R385" i="61"/>
  <c r="U385" i="61"/>
  <c r="X385" i="61"/>
  <c r="M386" i="61" l="1"/>
  <c r="X386" i="61"/>
  <c r="U386" i="61"/>
  <c r="R386" i="61"/>
  <c r="M387" i="61" l="1"/>
  <c r="X387" i="61"/>
  <c r="U387" i="61"/>
  <c r="R387" i="61"/>
  <c r="M388" i="61" l="1"/>
  <c r="X388" i="61"/>
  <c r="R388" i="61"/>
  <c r="U388" i="61"/>
  <c r="M389" i="61" l="1"/>
  <c r="X389" i="61"/>
  <c r="U389" i="61"/>
  <c r="R389" i="61"/>
  <c r="M390" i="61" l="1"/>
  <c r="R390" i="61"/>
  <c r="X390" i="61"/>
  <c r="U390" i="61"/>
  <c r="M391" i="61" l="1"/>
  <c r="U391" i="61"/>
  <c r="R391" i="61"/>
  <c r="X391" i="61"/>
  <c r="M392" i="61" l="1"/>
  <c r="X392" i="61"/>
  <c r="R392" i="61"/>
  <c r="U392" i="61"/>
  <c r="M393" i="61" l="1"/>
  <c r="R393" i="61"/>
  <c r="X393" i="61"/>
  <c r="U393" i="61"/>
  <c r="M394" i="61" l="1"/>
  <c r="U394" i="61"/>
  <c r="X394" i="61"/>
  <c r="R394" i="61"/>
  <c r="M395" i="61" l="1"/>
  <c r="U395" i="61"/>
  <c r="X395" i="61"/>
  <c r="R395" i="61"/>
  <c r="M396" i="61" l="1"/>
  <c r="X396" i="61"/>
  <c r="R396" i="61"/>
  <c r="U396" i="61"/>
  <c r="M397" i="61" l="1"/>
  <c r="X397" i="61"/>
  <c r="R397" i="61"/>
  <c r="U397" i="61"/>
  <c r="M398" i="61" l="1"/>
  <c r="R398" i="61"/>
  <c r="U398" i="61"/>
  <c r="X398" i="61"/>
  <c r="M399" i="61" l="1"/>
  <c r="X399" i="61"/>
  <c r="R399" i="61"/>
  <c r="U399" i="61"/>
  <c r="M400" i="61" l="1"/>
  <c r="U400" i="61"/>
  <c r="X400" i="61"/>
  <c r="R400" i="61"/>
  <c r="M401" i="61" l="1"/>
  <c r="R401" i="61"/>
  <c r="X401" i="61"/>
  <c r="U401" i="61"/>
  <c r="M402" i="61" l="1"/>
  <c r="U402" i="61"/>
  <c r="R402" i="61"/>
  <c r="X402" i="61"/>
  <c r="M403" i="61" l="1"/>
  <c r="X403" i="61"/>
  <c r="U403" i="61"/>
  <c r="R403" i="61"/>
  <c r="M404" i="61" l="1"/>
  <c r="X404" i="61"/>
  <c r="U404" i="61"/>
  <c r="R404" i="61"/>
  <c r="M405" i="61" l="1"/>
  <c r="R405" i="61"/>
  <c r="X405" i="61"/>
  <c r="U405" i="61"/>
  <c r="M406" i="61" l="1"/>
  <c r="U406" i="61"/>
  <c r="X406" i="61"/>
  <c r="R406" i="61"/>
  <c r="M407" i="61" l="1"/>
  <c r="U407" i="61"/>
  <c r="X407" i="61"/>
  <c r="R407" i="61"/>
  <c r="M408" i="61" l="1"/>
  <c r="X408" i="61"/>
  <c r="R408" i="61"/>
  <c r="U408" i="61"/>
  <c r="M409" i="61" l="1"/>
  <c r="X409" i="61"/>
  <c r="R409" i="61"/>
  <c r="U409" i="61"/>
  <c r="M410" i="61" l="1"/>
  <c r="U410" i="61"/>
  <c r="X410" i="61"/>
  <c r="R410" i="61"/>
  <c r="M411" i="61" l="1"/>
  <c r="R411" i="61"/>
  <c r="X411" i="61"/>
  <c r="U411" i="61"/>
  <c r="M412" i="61" l="1"/>
  <c r="R412" i="61"/>
  <c r="U412" i="61"/>
  <c r="X412" i="61"/>
  <c r="M413" i="61" l="1"/>
  <c r="X413" i="61"/>
  <c r="R413" i="61"/>
  <c r="U413" i="61"/>
  <c r="M414" i="61" l="1"/>
  <c r="R414" i="61"/>
  <c r="X414" i="61"/>
  <c r="U414" i="61"/>
  <c r="M415" i="61" l="1"/>
  <c r="X415" i="61"/>
  <c r="R415" i="61"/>
  <c r="U415" i="61"/>
  <c r="M416" i="61" l="1"/>
  <c r="R416" i="61"/>
  <c r="X416" i="61"/>
  <c r="U416" i="61"/>
  <c r="M417" i="61" l="1"/>
  <c r="R417" i="61"/>
  <c r="X417" i="61"/>
  <c r="U417" i="61"/>
  <c r="M418" i="61" l="1"/>
  <c r="R418" i="61"/>
  <c r="U418" i="61"/>
  <c r="X418" i="61"/>
  <c r="M419" i="61" l="1"/>
  <c r="X419" i="61"/>
  <c r="U419" i="61"/>
  <c r="R419" i="61"/>
  <c r="M420" i="61" l="1"/>
  <c r="U420" i="61"/>
  <c r="X420" i="61"/>
  <c r="R420" i="61"/>
  <c r="M421" i="61" l="1"/>
  <c r="X421" i="61"/>
  <c r="U421" i="61"/>
  <c r="R421" i="61"/>
  <c r="M422" i="61" l="1"/>
  <c r="X422" i="61"/>
  <c r="R422" i="61"/>
  <c r="U422" i="61"/>
  <c r="M423" i="61" l="1"/>
  <c r="X423" i="61"/>
  <c r="R423" i="61"/>
  <c r="U423" i="61"/>
  <c r="M424" i="61" l="1"/>
  <c r="R424" i="61"/>
  <c r="X424" i="61"/>
  <c r="U424" i="61"/>
  <c r="M425" i="61" l="1"/>
  <c r="U425" i="61"/>
  <c r="X425" i="61"/>
  <c r="R425" i="61"/>
  <c r="M426" i="61" l="1"/>
  <c r="R426" i="61"/>
  <c r="U426" i="61"/>
  <c r="X426" i="61"/>
  <c r="M427" i="61" l="1"/>
  <c r="U427" i="61"/>
  <c r="R427" i="61"/>
  <c r="X427" i="61"/>
  <c r="M428" i="61" l="1"/>
  <c r="R428" i="61"/>
  <c r="U428" i="61"/>
  <c r="X428" i="61"/>
  <c r="M429" i="61" l="1"/>
  <c r="R429" i="61"/>
  <c r="U429" i="61"/>
  <c r="X429" i="61"/>
  <c r="M430" i="61" l="1"/>
  <c r="R430" i="61"/>
  <c r="X430" i="61"/>
  <c r="U430" i="61"/>
  <c r="M431" i="61" l="1"/>
  <c r="X431" i="61"/>
  <c r="R431" i="61"/>
  <c r="U431" i="61"/>
  <c r="M432" i="61" l="1"/>
  <c r="R432" i="61"/>
  <c r="X432" i="61"/>
  <c r="U432" i="61"/>
  <c r="M433" i="61" l="1"/>
  <c r="U433" i="61"/>
  <c r="R433" i="61"/>
  <c r="X433" i="61"/>
  <c r="M434" i="61" l="1"/>
  <c r="R434" i="61"/>
  <c r="X434" i="61"/>
  <c r="U434" i="61"/>
  <c r="M435" i="61" l="1"/>
  <c r="U435" i="61"/>
  <c r="R435" i="61"/>
  <c r="X435" i="61"/>
  <c r="M436" i="61" l="1"/>
  <c r="R436" i="61"/>
  <c r="U436" i="61"/>
  <c r="X436" i="61"/>
  <c r="M437" i="61" l="1"/>
  <c r="R437" i="61"/>
  <c r="X437" i="61"/>
  <c r="U437" i="61"/>
  <c r="M438" i="61" l="1"/>
  <c r="R438" i="61"/>
  <c r="U438" i="61"/>
  <c r="X438" i="61"/>
  <c r="M439" i="61" l="1"/>
  <c r="U439" i="61"/>
  <c r="X439" i="61"/>
  <c r="R439" i="61"/>
  <c r="M440" i="61" l="1"/>
  <c r="R440" i="61"/>
  <c r="X440" i="61"/>
  <c r="U440" i="61"/>
  <c r="M441" i="61" l="1"/>
  <c r="U441" i="61"/>
  <c r="R441" i="61"/>
  <c r="X441" i="61"/>
  <c r="M442" i="61" l="1"/>
  <c r="U442" i="61"/>
  <c r="R442" i="61"/>
  <c r="X442" i="61"/>
  <c r="M443" i="61" l="1"/>
  <c r="X443" i="61"/>
  <c r="U443" i="61"/>
  <c r="R443" i="61"/>
  <c r="M444" i="61" l="1"/>
  <c r="X444" i="61"/>
  <c r="R444" i="61"/>
  <c r="U444" i="61"/>
  <c r="M445" i="61" l="1"/>
  <c r="U445" i="61"/>
  <c r="X445" i="61"/>
  <c r="R445" i="61"/>
  <c r="M446" i="61" l="1"/>
  <c r="R446" i="61"/>
  <c r="U446" i="61"/>
  <c r="X446" i="61"/>
  <c r="M447" i="61" l="1"/>
  <c r="U447" i="61"/>
  <c r="R447" i="61"/>
  <c r="X447" i="61"/>
  <c r="M448" i="61" l="1"/>
  <c r="U448" i="61"/>
  <c r="R448" i="61"/>
  <c r="X448" i="61"/>
  <c r="M449" i="61" l="1"/>
  <c r="X449" i="61"/>
  <c r="R449" i="61"/>
  <c r="U449" i="61"/>
  <c r="M450" i="61" l="1"/>
  <c r="R450" i="61"/>
  <c r="U450" i="61"/>
  <c r="X450" i="61"/>
  <c r="M451" i="61" l="1"/>
  <c r="X451" i="61"/>
  <c r="U451" i="61"/>
  <c r="R451" i="61"/>
  <c r="M452" i="61" l="1"/>
  <c r="X452" i="61"/>
  <c r="U452" i="61"/>
  <c r="R452" i="61"/>
  <c r="M453" i="61" l="1"/>
  <c r="X453" i="61"/>
  <c r="U453" i="61"/>
  <c r="R453" i="61"/>
  <c r="M454" i="61" l="1"/>
  <c r="X454" i="61"/>
  <c r="U454" i="61"/>
  <c r="R454" i="61"/>
  <c r="M455" i="61" l="1"/>
  <c r="X455" i="61"/>
  <c r="R455" i="61"/>
  <c r="U455" i="61"/>
  <c r="M456" i="61" l="1"/>
  <c r="X456" i="61"/>
  <c r="U456" i="61"/>
  <c r="R456" i="61"/>
  <c r="M457" i="61" l="1"/>
  <c r="U457" i="61"/>
  <c r="R457" i="61"/>
  <c r="X457" i="61"/>
  <c r="M458" i="61" l="1"/>
  <c r="U458" i="61"/>
  <c r="R458" i="61"/>
  <c r="X458" i="61"/>
  <c r="M459" i="61" l="1"/>
  <c r="X459" i="61"/>
  <c r="U459" i="61"/>
  <c r="R459" i="61"/>
  <c r="M460" i="61" l="1"/>
  <c r="R460" i="61"/>
  <c r="X460" i="61"/>
  <c r="U460" i="61"/>
  <c r="M461" i="61" l="1"/>
  <c r="X461" i="61"/>
  <c r="U461" i="61"/>
  <c r="R461" i="61"/>
  <c r="M462" i="61" l="1"/>
  <c r="U462" i="61"/>
  <c r="R462" i="61"/>
  <c r="X462" i="61"/>
  <c r="M463" i="61" l="1"/>
  <c r="X463" i="61"/>
  <c r="R463" i="61"/>
  <c r="U463" i="61"/>
  <c r="M464" i="61" l="1"/>
  <c r="U464" i="61"/>
  <c r="R464" i="61"/>
  <c r="X464" i="61"/>
  <c r="M465" i="61" l="1"/>
  <c r="U465" i="61"/>
  <c r="R465" i="61"/>
  <c r="X465" i="61"/>
  <c r="M466" i="61" l="1"/>
  <c r="X466" i="61"/>
  <c r="U466" i="61"/>
  <c r="R466" i="61"/>
  <c r="M467" i="61" l="1"/>
  <c r="R467" i="61"/>
  <c r="U467" i="61"/>
  <c r="X467" i="61"/>
  <c r="M468" i="61" l="1"/>
  <c r="R468" i="61"/>
  <c r="U468" i="61"/>
  <c r="X468" i="61"/>
  <c r="M469" i="61" l="1"/>
  <c r="X469" i="61"/>
  <c r="U469" i="61"/>
  <c r="R469" i="61"/>
  <c r="M470" i="61" l="1"/>
  <c r="X470" i="61"/>
  <c r="U470" i="61"/>
  <c r="R470" i="61"/>
  <c r="M471" i="61" l="1"/>
  <c r="X471" i="61"/>
  <c r="R471" i="61"/>
  <c r="U471" i="61"/>
  <c r="M472" i="61" l="1"/>
  <c r="X472" i="61"/>
  <c r="U472" i="61"/>
  <c r="R472" i="61"/>
  <c r="M473" i="61" l="1"/>
  <c r="R473" i="61"/>
  <c r="X473" i="61"/>
  <c r="U473" i="61"/>
  <c r="M474" i="61" l="1"/>
  <c r="X474" i="61"/>
  <c r="U474" i="61"/>
  <c r="R474" i="61"/>
  <c r="M475" i="61" l="1"/>
  <c r="R475" i="61"/>
  <c r="X475" i="61"/>
  <c r="U475" i="61"/>
  <c r="M476" i="61" l="1"/>
  <c r="X476" i="61"/>
  <c r="U476" i="61"/>
  <c r="R476" i="61"/>
  <c r="M477" i="61" l="1"/>
  <c r="R477" i="61"/>
  <c r="U477" i="61"/>
  <c r="X477" i="61"/>
  <c r="M478" i="61" l="1"/>
  <c r="X478" i="61"/>
  <c r="U478" i="61"/>
  <c r="R478" i="61"/>
  <c r="M479" i="61" l="1"/>
  <c r="X479" i="61"/>
  <c r="R479" i="61"/>
  <c r="U479" i="61"/>
  <c r="M480" i="61" l="1"/>
  <c r="U480" i="61"/>
  <c r="R480" i="61"/>
  <c r="X480" i="61"/>
  <c r="M481" i="61" l="1"/>
  <c r="U481" i="61"/>
  <c r="X481" i="61"/>
  <c r="R481" i="61"/>
  <c r="M482" i="61" l="1"/>
  <c r="U482" i="61"/>
  <c r="X482" i="61"/>
  <c r="R482" i="61"/>
  <c r="M483" i="61" l="1"/>
  <c r="R483" i="61"/>
  <c r="X483" i="61"/>
  <c r="U483" i="61"/>
  <c r="M484" i="61" l="1"/>
  <c r="U484" i="61"/>
  <c r="R484" i="61"/>
  <c r="X484" i="61"/>
  <c r="M485" i="61" l="1"/>
  <c r="R485" i="61"/>
  <c r="X485" i="61"/>
  <c r="U485" i="61"/>
  <c r="M486" i="61" l="1"/>
  <c r="X486" i="61"/>
  <c r="R486" i="61"/>
  <c r="U486" i="61"/>
  <c r="M487" i="61" l="1"/>
  <c r="X487" i="61"/>
  <c r="U487" i="61"/>
  <c r="R487" i="61"/>
  <c r="M488" i="61" l="1"/>
  <c r="X488" i="61"/>
  <c r="U488" i="61"/>
  <c r="R488" i="61"/>
  <c r="M489" i="61" l="1"/>
  <c r="X489" i="61"/>
  <c r="U489" i="61"/>
  <c r="R489" i="61"/>
  <c r="M490" i="61" l="1"/>
  <c r="R490" i="61"/>
  <c r="U490" i="61"/>
  <c r="X490" i="61"/>
  <c r="M491" i="61" l="1"/>
  <c r="X491" i="61"/>
  <c r="R491" i="61"/>
  <c r="U491" i="61"/>
  <c r="M492" i="61" l="1"/>
  <c r="R492" i="61"/>
  <c r="U492" i="61"/>
  <c r="X492" i="61"/>
  <c r="M493" i="61" l="1"/>
  <c r="X493" i="61"/>
  <c r="R493" i="61"/>
  <c r="U493" i="61"/>
  <c r="M494" i="61" l="1"/>
  <c r="U494" i="61"/>
  <c r="R494" i="61"/>
  <c r="X494" i="61"/>
  <c r="M495" i="61" l="1"/>
  <c r="R495" i="61"/>
  <c r="U495" i="61"/>
  <c r="X495" i="61"/>
  <c r="M496" i="61" l="1"/>
  <c r="X496" i="61"/>
  <c r="U496" i="61"/>
  <c r="R496" i="61"/>
  <c r="M497" i="61" l="1"/>
  <c r="R497" i="61"/>
  <c r="U497" i="61"/>
  <c r="X497" i="61"/>
  <c r="M498" i="61" l="1"/>
  <c r="X498" i="61"/>
  <c r="R498" i="61"/>
  <c r="U498" i="61"/>
  <c r="M499" i="61" l="1"/>
  <c r="R499" i="61"/>
  <c r="X499" i="61"/>
  <c r="U499" i="61"/>
  <c r="M500" i="61" l="1"/>
  <c r="X500" i="61"/>
  <c r="U500" i="61"/>
  <c r="R500" i="61"/>
  <c r="M501" i="61" l="1"/>
  <c r="X501" i="61"/>
  <c r="U501" i="61"/>
  <c r="R501" i="61"/>
  <c r="M502" i="61" l="1"/>
  <c r="R502" i="61"/>
  <c r="X502" i="61"/>
  <c r="U502" i="61"/>
  <c r="M503" i="61" l="1"/>
  <c r="U503" i="61"/>
  <c r="R503" i="61"/>
  <c r="X503" i="61"/>
  <c r="M504" i="61" l="1"/>
  <c r="U504" i="61"/>
  <c r="R504" i="61"/>
  <c r="X504" i="61"/>
  <c r="M505" i="61" l="1"/>
  <c r="U505" i="61"/>
  <c r="X505" i="61"/>
  <c r="R505" i="61"/>
  <c r="M506" i="61" l="1"/>
  <c r="U506" i="61"/>
  <c r="R506" i="61"/>
  <c r="X506" i="61"/>
  <c r="M507" i="61" l="1"/>
  <c r="R507" i="61"/>
  <c r="U507" i="61"/>
  <c r="X507" i="61"/>
  <c r="M508" i="61" l="1"/>
  <c r="U508" i="61"/>
  <c r="R508" i="61"/>
  <c r="X508" i="61"/>
  <c r="M509" i="61" l="1"/>
  <c r="R509" i="61"/>
  <c r="X509" i="61"/>
  <c r="U509" i="61"/>
  <c r="M510" i="61" l="1"/>
  <c r="U510" i="61"/>
  <c r="X510" i="61"/>
  <c r="R510" i="61"/>
  <c r="M511" i="61" l="1"/>
  <c r="R511" i="61"/>
  <c r="U511" i="61"/>
  <c r="X511" i="61"/>
  <c r="M512" i="61" l="1"/>
  <c r="R512" i="61"/>
  <c r="X512" i="61"/>
  <c r="U512" i="61"/>
  <c r="M513" i="61" l="1"/>
  <c r="U513" i="61"/>
  <c r="R513" i="61"/>
  <c r="X513" i="61"/>
  <c r="M514" i="61" l="1"/>
  <c r="U514" i="61"/>
  <c r="X514" i="61"/>
  <c r="R514" i="61"/>
  <c r="M515" i="61" l="1"/>
  <c r="X515" i="61"/>
  <c r="U515" i="61"/>
  <c r="R515" i="61"/>
  <c r="M516" i="61" l="1"/>
  <c r="X516" i="61"/>
  <c r="R516" i="61"/>
  <c r="U516" i="61"/>
  <c r="M517" i="61" l="1"/>
  <c r="X517" i="61"/>
  <c r="U517" i="61"/>
  <c r="R517" i="61"/>
  <c r="M518" i="61" l="1"/>
  <c r="X518" i="61"/>
  <c r="U518" i="61"/>
  <c r="R518" i="61"/>
  <c r="M519" i="61" l="1"/>
  <c r="R519" i="61"/>
  <c r="U519" i="61"/>
  <c r="X519" i="61"/>
  <c r="M520" i="61" l="1"/>
  <c r="R520" i="61"/>
  <c r="U520" i="61"/>
  <c r="X520" i="61"/>
  <c r="M521" i="61" l="1"/>
  <c r="X521" i="61"/>
  <c r="R521" i="61"/>
  <c r="U521" i="61"/>
  <c r="M522" i="61" l="1"/>
  <c r="R522" i="61"/>
  <c r="U522" i="61"/>
  <c r="X522" i="61"/>
  <c r="M523" i="61" l="1"/>
  <c r="R523" i="61"/>
  <c r="U523" i="61"/>
  <c r="X523" i="61"/>
  <c r="M524" i="61" l="1"/>
  <c r="R524" i="61"/>
  <c r="X524" i="61"/>
  <c r="U524" i="61"/>
  <c r="M525" i="61" l="1"/>
  <c r="R525" i="61"/>
  <c r="U525" i="61"/>
  <c r="X525" i="61"/>
  <c r="M526" i="61" l="1"/>
  <c r="R526" i="61"/>
  <c r="U526" i="61"/>
  <c r="X526" i="61"/>
  <c r="M527" i="61" l="1"/>
  <c r="X527" i="61"/>
  <c r="R527" i="61"/>
  <c r="U527" i="61"/>
  <c r="M528" i="61" l="1"/>
  <c r="R528" i="61"/>
  <c r="X528" i="61"/>
  <c r="U528" i="61"/>
  <c r="M529" i="61" l="1"/>
  <c r="X529" i="61"/>
  <c r="R529" i="61"/>
  <c r="U529" i="61"/>
  <c r="M530" i="61" l="1"/>
  <c r="R530" i="61"/>
  <c r="U530" i="61"/>
  <c r="X530" i="61"/>
  <c r="M531" i="61" l="1"/>
  <c r="X531" i="61"/>
  <c r="R531" i="61"/>
  <c r="U531" i="61"/>
  <c r="M532" i="61" l="1"/>
  <c r="X532" i="61"/>
  <c r="U532" i="61"/>
  <c r="R532" i="61"/>
  <c r="M533" i="61" l="1"/>
  <c r="U533" i="61"/>
  <c r="R533" i="61"/>
  <c r="X533" i="61"/>
  <c r="M534" i="61" l="1"/>
  <c r="R534" i="61"/>
  <c r="U534" i="61"/>
  <c r="X534" i="61"/>
  <c r="M535" i="61" l="1"/>
  <c r="X535" i="61"/>
  <c r="R535" i="61"/>
  <c r="U535" i="61"/>
  <c r="M536" i="61" l="1"/>
  <c r="R536" i="61"/>
  <c r="X536" i="61"/>
  <c r="U536" i="61"/>
  <c r="M537" i="61" l="1"/>
  <c r="R537" i="61"/>
  <c r="U537" i="61"/>
  <c r="X537" i="61"/>
  <c r="M538" i="61" l="1"/>
  <c r="U538" i="61"/>
  <c r="R538" i="61"/>
  <c r="X538" i="61"/>
  <c r="M539" i="61" l="1"/>
  <c r="R539" i="61"/>
  <c r="X539" i="61"/>
  <c r="U539" i="61"/>
  <c r="M540" i="61" l="1"/>
  <c r="U540" i="61"/>
  <c r="X540" i="61"/>
  <c r="R540" i="61"/>
  <c r="M541" i="61" l="1"/>
  <c r="X541" i="61"/>
  <c r="R541" i="61"/>
  <c r="U541" i="61"/>
  <c r="M542" i="61" l="1"/>
  <c r="U542" i="61"/>
  <c r="X542" i="61"/>
  <c r="R542" i="61"/>
  <c r="M543" i="61" l="1"/>
  <c r="U543" i="61"/>
  <c r="R543" i="61"/>
  <c r="X543" i="61"/>
  <c r="M544" i="61" l="1"/>
  <c r="U544" i="61"/>
  <c r="R544" i="61"/>
  <c r="X544" i="61"/>
  <c r="M545" i="61" l="1"/>
  <c r="R545" i="61"/>
  <c r="X545" i="61"/>
  <c r="U545" i="61"/>
  <c r="M546" i="61" l="1"/>
  <c r="R546" i="61"/>
  <c r="U546" i="61"/>
  <c r="X546" i="61"/>
  <c r="M547" i="61" l="1"/>
  <c r="U547" i="61"/>
  <c r="R547" i="61"/>
  <c r="X547" i="61"/>
  <c r="M548" i="61" l="1"/>
  <c r="R548" i="61"/>
  <c r="X548" i="61"/>
  <c r="U548" i="61"/>
  <c r="M549" i="61" l="1"/>
  <c r="U549" i="61"/>
  <c r="R549" i="61"/>
  <c r="X549" i="61"/>
  <c r="M550" i="61" l="1"/>
  <c r="U550" i="61"/>
  <c r="R550" i="61"/>
  <c r="X550" i="61"/>
  <c r="M551" i="61" l="1"/>
  <c r="U551" i="61"/>
  <c r="X551" i="61"/>
  <c r="R551" i="61"/>
  <c r="M552" i="61" l="1"/>
  <c r="U552" i="61"/>
  <c r="X552" i="61"/>
  <c r="R552" i="61"/>
  <c r="M553" i="61" l="1"/>
  <c r="R553" i="61"/>
  <c r="U553" i="61"/>
  <c r="X553" i="61"/>
  <c r="M554" i="61" l="1"/>
  <c r="R554" i="61"/>
  <c r="X554" i="61"/>
  <c r="U554" i="61"/>
  <c r="M555" i="61" l="1"/>
  <c r="U555" i="61"/>
  <c r="X555" i="61"/>
  <c r="R555" i="61"/>
  <c r="M556" i="61" l="1"/>
  <c r="X556" i="61"/>
  <c r="U556" i="61"/>
  <c r="R556" i="61"/>
  <c r="M557" i="61" l="1"/>
  <c r="X557" i="61"/>
  <c r="R557" i="61"/>
  <c r="U557" i="61"/>
  <c r="M558" i="61" l="1"/>
  <c r="R558" i="61"/>
  <c r="X558" i="61"/>
  <c r="U558" i="61"/>
  <c r="M559" i="61" l="1"/>
  <c r="R559" i="61"/>
  <c r="U559" i="61"/>
  <c r="X559" i="61"/>
  <c r="M560" i="61" l="1"/>
  <c r="X560" i="61"/>
  <c r="U560" i="61"/>
  <c r="R560" i="61"/>
  <c r="M561" i="61" l="1"/>
  <c r="X561" i="61"/>
  <c r="U561" i="61"/>
  <c r="R561" i="61"/>
  <c r="M562" i="61" l="1"/>
  <c r="X562" i="61"/>
  <c r="R562" i="61"/>
  <c r="U562" i="61"/>
  <c r="M563" i="61" l="1"/>
  <c r="X563" i="61"/>
  <c r="R563" i="61"/>
  <c r="U563" i="61"/>
  <c r="M564" i="61" l="1"/>
  <c r="U564" i="61"/>
  <c r="X564" i="61"/>
  <c r="R564" i="61"/>
  <c r="M565" i="61" l="1"/>
  <c r="X565" i="61"/>
  <c r="R565" i="61"/>
  <c r="U565" i="61"/>
  <c r="M566" i="61" l="1"/>
  <c r="R566" i="61"/>
  <c r="X566" i="61"/>
  <c r="U566" i="61"/>
  <c r="M567" i="61" l="1"/>
  <c r="U567" i="61"/>
  <c r="X567" i="61"/>
  <c r="R567" i="61"/>
  <c r="M568" i="61" l="1"/>
  <c r="R568" i="61"/>
  <c r="X568" i="61"/>
  <c r="U568" i="61"/>
  <c r="M569" i="61" l="1"/>
  <c r="U569" i="61"/>
  <c r="X569" i="61"/>
  <c r="R569" i="61"/>
  <c r="M570" i="61" l="1"/>
  <c r="R570" i="61"/>
  <c r="U570" i="61"/>
  <c r="X570" i="61"/>
  <c r="M571" i="61" l="1"/>
  <c r="X571" i="61"/>
  <c r="U571" i="61"/>
  <c r="R571" i="61"/>
  <c r="M572" i="61" l="1"/>
  <c r="U572" i="61"/>
  <c r="X572" i="61"/>
  <c r="R572" i="61"/>
  <c r="M573" i="61" l="1"/>
  <c r="X573" i="61"/>
  <c r="U573" i="61"/>
  <c r="R573" i="61"/>
  <c r="M574" i="61" l="1"/>
  <c r="R574" i="61"/>
  <c r="U574" i="61"/>
  <c r="X574" i="61"/>
  <c r="M575" i="61" l="1"/>
  <c r="U575" i="61"/>
  <c r="X575" i="61"/>
  <c r="R575" i="61"/>
  <c r="M576" i="61" l="1"/>
  <c r="X576" i="61"/>
  <c r="U576" i="61"/>
  <c r="R576" i="61"/>
  <c r="M577" i="61" l="1"/>
  <c r="U577" i="61"/>
  <c r="X577" i="61"/>
  <c r="R577" i="61"/>
  <c r="M578" i="61" l="1"/>
  <c r="X578" i="61"/>
  <c r="U578" i="61"/>
  <c r="R578" i="61"/>
  <c r="M579" i="61" l="1"/>
  <c r="X579" i="61"/>
  <c r="U579" i="61"/>
  <c r="R579" i="61"/>
  <c r="M580" i="61" l="1"/>
  <c r="R580" i="61"/>
  <c r="U580" i="61"/>
  <c r="X580" i="61"/>
  <c r="M581" i="61" l="1"/>
  <c r="X581" i="61"/>
  <c r="R581" i="61"/>
  <c r="U581" i="61"/>
  <c r="M582" i="61" l="1"/>
  <c r="U582" i="61"/>
  <c r="R582" i="61"/>
  <c r="X582" i="61"/>
  <c r="M583" i="61" l="1"/>
  <c r="X583" i="61"/>
  <c r="R583" i="61"/>
  <c r="U583" i="61"/>
  <c r="M584" i="61" l="1"/>
  <c r="R584" i="61"/>
  <c r="X584" i="61"/>
  <c r="U584" i="61"/>
  <c r="M585" i="61" l="1"/>
  <c r="R585" i="61"/>
  <c r="U585" i="61"/>
  <c r="X585" i="61"/>
  <c r="M586" i="61" l="1"/>
  <c r="X586" i="61"/>
  <c r="R586" i="61"/>
  <c r="U586" i="61"/>
  <c r="M587" i="61" l="1"/>
  <c r="X587" i="61"/>
  <c r="R587" i="61"/>
  <c r="U587" i="61"/>
  <c r="M588" i="61" l="1"/>
  <c r="X588" i="61"/>
  <c r="R588" i="61"/>
  <c r="U588" i="61"/>
  <c r="M589" i="61" l="1"/>
  <c r="R589" i="61"/>
  <c r="X589" i="61"/>
  <c r="U589" i="61"/>
  <c r="M590" i="61" l="1"/>
  <c r="U590" i="61"/>
  <c r="R590" i="61"/>
  <c r="X590" i="61"/>
  <c r="M591" i="61" l="1"/>
  <c r="X591" i="61"/>
  <c r="U591" i="61"/>
  <c r="R591" i="61"/>
  <c r="M592" i="61" l="1"/>
  <c r="U592" i="61"/>
  <c r="X592" i="61"/>
  <c r="R592" i="61"/>
  <c r="M593" i="61" l="1"/>
  <c r="X593" i="61"/>
  <c r="R593" i="61"/>
  <c r="U593" i="61"/>
  <c r="M594" i="61" l="1"/>
  <c r="R594" i="61"/>
  <c r="X594" i="61"/>
  <c r="U594" i="61"/>
  <c r="M595" i="61" l="1"/>
  <c r="X595" i="61"/>
  <c r="R595" i="61"/>
  <c r="U595" i="61"/>
  <c r="M596" i="61" l="1"/>
  <c r="R596" i="61"/>
  <c r="X596" i="61"/>
  <c r="U596" i="61"/>
  <c r="M597" i="61" l="1"/>
  <c r="X597" i="61"/>
  <c r="U597" i="61"/>
  <c r="R597" i="61"/>
  <c r="M598" i="61" l="1"/>
  <c r="U598" i="61"/>
  <c r="R598" i="61"/>
  <c r="X598" i="61"/>
  <c r="M599" i="61" l="1"/>
  <c r="U599" i="61"/>
  <c r="X599" i="61"/>
  <c r="R599" i="61"/>
  <c r="M600" i="61" l="1"/>
  <c r="R600" i="61"/>
  <c r="X600" i="61"/>
  <c r="U600" i="61"/>
  <c r="M601" i="61" l="1"/>
  <c r="U601" i="61"/>
  <c r="X601" i="61"/>
  <c r="R601" i="61"/>
  <c r="M602" i="61" l="1"/>
  <c r="R602" i="61"/>
  <c r="U602" i="61"/>
  <c r="X602" i="61"/>
  <c r="M603" i="61" l="1"/>
  <c r="U603" i="61"/>
  <c r="X603" i="61"/>
  <c r="R603" i="61"/>
  <c r="M604" i="61" l="1"/>
  <c r="U604" i="61"/>
  <c r="R604" i="61"/>
  <c r="X604" i="61"/>
  <c r="M605" i="61" l="1"/>
  <c r="U605" i="61"/>
  <c r="X605" i="61"/>
  <c r="R605" i="61"/>
  <c r="M606" i="61" l="1"/>
  <c r="X606" i="61"/>
  <c r="R606" i="61"/>
  <c r="U606" i="61"/>
  <c r="M607" i="61" l="1"/>
  <c r="X607" i="61"/>
  <c r="R607" i="61"/>
  <c r="U607" i="61"/>
  <c r="M608" i="61" l="1"/>
  <c r="U608" i="61"/>
  <c r="X608" i="61"/>
  <c r="R608" i="61"/>
  <c r="M609" i="61" l="1"/>
  <c r="R609" i="61"/>
  <c r="X609" i="61"/>
  <c r="U609" i="61"/>
  <c r="M610" i="61" l="1"/>
  <c r="R610" i="61"/>
  <c r="X610" i="61"/>
  <c r="U610" i="61"/>
  <c r="M611" i="61" l="1"/>
  <c r="U611" i="61"/>
  <c r="X611" i="61"/>
  <c r="R611" i="61"/>
  <c r="M612" i="61" l="1"/>
  <c r="X612" i="61"/>
  <c r="U612" i="61"/>
  <c r="R612" i="61"/>
  <c r="M613" i="61" l="1"/>
  <c r="R613" i="61"/>
  <c r="U613" i="61"/>
  <c r="X613" i="61"/>
  <c r="M614" i="61" l="1"/>
  <c r="X614" i="61"/>
  <c r="R614" i="61"/>
  <c r="U614" i="61"/>
  <c r="M615" i="61" l="1"/>
  <c r="X615" i="61"/>
  <c r="R615" i="61"/>
  <c r="U615" i="61"/>
  <c r="M616" i="61" l="1"/>
  <c r="U616" i="61"/>
  <c r="X616" i="61"/>
  <c r="R616" i="61"/>
  <c r="M617" i="61" l="1"/>
  <c r="X617" i="61"/>
  <c r="U617" i="61"/>
  <c r="R617" i="61"/>
  <c r="M618" i="61" l="1"/>
  <c r="R618" i="61"/>
  <c r="X618" i="61"/>
  <c r="U618" i="61"/>
  <c r="M619" i="61" l="1"/>
  <c r="X619" i="61"/>
  <c r="U619" i="61"/>
  <c r="R619" i="61"/>
  <c r="M620" i="61" l="1"/>
  <c r="R620" i="61"/>
  <c r="X620" i="61"/>
  <c r="U620" i="61"/>
  <c r="M621" i="61" l="1"/>
  <c r="R621" i="61"/>
  <c r="X621" i="61"/>
  <c r="U621" i="61"/>
  <c r="M622" i="61" l="1"/>
  <c r="U622" i="61"/>
  <c r="X622" i="61"/>
  <c r="R622" i="61"/>
  <c r="M623" i="61" l="1"/>
  <c r="X623" i="61"/>
  <c r="R623" i="61"/>
  <c r="U623" i="61"/>
  <c r="M624" i="61" l="1"/>
  <c r="X624" i="61"/>
  <c r="U624" i="61"/>
  <c r="R624" i="61"/>
  <c r="M625" i="61" l="1"/>
  <c r="R625" i="61"/>
  <c r="X625" i="61"/>
  <c r="U625" i="61"/>
  <c r="M626" i="61" l="1"/>
  <c r="X626" i="61"/>
  <c r="U626" i="61"/>
  <c r="R626" i="61"/>
  <c r="M627" i="61" l="1"/>
  <c r="X627" i="61"/>
  <c r="U627" i="61"/>
  <c r="R627" i="61"/>
  <c r="M628" i="61" l="1"/>
  <c r="R628" i="61"/>
  <c r="X628" i="61"/>
  <c r="U628" i="61"/>
  <c r="M629" i="61" l="1"/>
  <c r="U629" i="61"/>
  <c r="R629" i="61"/>
  <c r="X629" i="61"/>
  <c r="M630" i="61" l="1"/>
  <c r="U630" i="61"/>
  <c r="X630" i="61"/>
  <c r="R630" i="61"/>
  <c r="M631" i="61" l="1"/>
  <c r="R631" i="61"/>
  <c r="U631" i="61"/>
  <c r="X631" i="61"/>
  <c r="M632" i="61" l="1"/>
  <c r="R632" i="61"/>
  <c r="X632" i="61"/>
  <c r="U632" i="61"/>
  <c r="M633" i="61" l="1"/>
  <c r="X633" i="61"/>
  <c r="R633" i="61"/>
  <c r="U633" i="61"/>
  <c r="M634" i="61" l="1"/>
  <c r="U634" i="61"/>
  <c r="R634" i="61"/>
  <c r="X634" i="61"/>
  <c r="M635" i="61" l="1"/>
  <c r="X635" i="61"/>
  <c r="U635" i="61"/>
  <c r="R635" i="61"/>
  <c r="M636" i="61" l="1"/>
  <c r="R636" i="61"/>
  <c r="X636" i="61"/>
  <c r="U636" i="61"/>
  <c r="M637" i="61" l="1"/>
  <c r="U637" i="61"/>
  <c r="R637" i="61"/>
  <c r="X637" i="61"/>
  <c r="M638" i="61" l="1"/>
  <c r="X638" i="61"/>
  <c r="U638" i="61"/>
  <c r="R638" i="61"/>
  <c r="M639" i="61" l="1"/>
  <c r="R639" i="61"/>
  <c r="U639" i="61"/>
  <c r="X639" i="61"/>
  <c r="M640" i="61" l="1"/>
  <c r="R640" i="61"/>
  <c r="X640" i="61"/>
  <c r="U640" i="61"/>
  <c r="M641" i="61" l="1"/>
  <c r="U641" i="61"/>
  <c r="R641" i="61"/>
  <c r="X641" i="61"/>
  <c r="M642" i="61" l="1"/>
  <c r="X642" i="61"/>
  <c r="U642" i="61"/>
  <c r="R642" i="61"/>
  <c r="M643" i="61" l="1"/>
  <c r="U643" i="61"/>
  <c r="R643" i="61"/>
  <c r="X643" i="61"/>
  <c r="M644" i="61" l="1"/>
  <c r="R644" i="61"/>
  <c r="U644" i="61"/>
  <c r="X644" i="61"/>
  <c r="M645" i="61" l="1"/>
  <c r="U645" i="61"/>
  <c r="X645" i="61"/>
  <c r="R645" i="61"/>
  <c r="M646" i="61" l="1"/>
  <c r="R646" i="61"/>
  <c r="U646" i="61"/>
  <c r="X646" i="61"/>
  <c r="M647" i="61" l="1"/>
  <c r="X647" i="61"/>
  <c r="R647" i="61"/>
  <c r="U647" i="61"/>
  <c r="M648" i="61" l="1"/>
  <c r="U648" i="61"/>
  <c r="X648" i="61"/>
  <c r="R648" i="61"/>
  <c r="M649" i="61" l="1"/>
  <c r="R649" i="61"/>
  <c r="U649" i="61"/>
  <c r="X649" i="61"/>
  <c r="M650" i="61" l="1"/>
  <c r="X650" i="61"/>
  <c r="U650" i="61"/>
  <c r="R650" i="61"/>
  <c r="M651" i="61" l="1"/>
  <c r="X651" i="61"/>
  <c r="U651" i="61"/>
  <c r="R651" i="61"/>
  <c r="M652" i="61" l="1"/>
  <c r="R652" i="61"/>
  <c r="X652" i="61"/>
  <c r="U652" i="61"/>
  <c r="M653" i="61" l="1"/>
  <c r="U653" i="61"/>
  <c r="X653" i="61"/>
  <c r="R653" i="61"/>
  <c r="M654" i="61" l="1"/>
  <c r="R654" i="61"/>
  <c r="U654" i="61"/>
  <c r="X654" i="61"/>
  <c r="M655" i="61" l="1"/>
  <c r="X655" i="61"/>
  <c r="R655" i="61"/>
  <c r="U655" i="61"/>
  <c r="M656" i="61" l="1"/>
  <c r="U656" i="61"/>
  <c r="X656" i="61"/>
  <c r="R656" i="61"/>
  <c r="M657" i="61" l="1"/>
  <c r="X657" i="61"/>
  <c r="R657" i="61"/>
  <c r="U657" i="61"/>
  <c r="M658" i="61" l="1"/>
  <c r="R658" i="61"/>
  <c r="X658" i="61"/>
  <c r="U658" i="61"/>
  <c r="M659" i="61" l="1"/>
  <c r="U659" i="61"/>
  <c r="R659" i="61"/>
  <c r="X659" i="61"/>
  <c r="M660" i="61" l="1"/>
  <c r="X660" i="61"/>
  <c r="U660" i="61"/>
  <c r="R660" i="61"/>
  <c r="M661" i="61" l="1"/>
  <c r="X661" i="61"/>
  <c r="U661" i="61"/>
  <c r="R661" i="61"/>
  <c r="M662" i="61" l="1"/>
  <c r="X662" i="61"/>
  <c r="R662" i="61"/>
  <c r="U662" i="61"/>
  <c r="M663" i="61" l="1"/>
  <c r="U663" i="61"/>
  <c r="X663" i="61"/>
  <c r="R663" i="61"/>
  <c r="M664" i="61" l="1"/>
  <c r="U664" i="61"/>
  <c r="R664" i="61"/>
  <c r="X664" i="61"/>
  <c r="M665" i="61" l="1"/>
  <c r="X665" i="61"/>
  <c r="R665" i="61"/>
  <c r="U665" i="61"/>
  <c r="M666" i="61" l="1"/>
  <c r="U666" i="61"/>
  <c r="X666" i="61"/>
  <c r="R666" i="61"/>
  <c r="M667" i="61" l="1"/>
  <c r="U667" i="61"/>
  <c r="X667" i="61"/>
  <c r="R667" i="61"/>
  <c r="M668" i="61" l="1"/>
  <c r="U668" i="61"/>
  <c r="R668" i="61"/>
  <c r="X668" i="61"/>
  <c r="M669" i="61" l="1"/>
  <c r="U669" i="61"/>
  <c r="R669" i="61"/>
  <c r="X669" i="61"/>
  <c r="M670" i="61" l="1"/>
  <c r="U670" i="61"/>
  <c r="X670" i="61"/>
  <c r="R670" i="61"/>
  <c r="M671" i="61" l="1"/>
  <c r="R671" i="61"/>
  <c r="U671" i="61"/>
  <c r="X671" i="61"/>
  <c r="M672" i="61" l="1"/>
  <c r="R672" i="61"/>
  <c r="U672" i="61"/>
  <c r="X672" i="61"/>
  <c r="M673" i="61" l="1"/>
  <c r="R673" i="61"/>
  <c r="X673" i="61"/>
  <c r="U673" i="61"/>
  <c r="M674" i="61" l="1"/>
  <c r="X674" i="61"/>
  <c r="R674" i="61"/>
  <c r="U674" i="61"/>
  <c r="M675" i="61" l="1"/>
  <c r="X675" i="61"/>
  <c r="U675" i="61"/>
  <c r="R675" i="61"/>
  <c r="M676" i="61" l="1"/>
  <c r="U676" i="61"/>
  <c r="X676" i="61"/>
  <c r="R676" i="61"/>
  <c r="M677" i="61" l="1"/>
  <c r="X677" i="61"/>
  <c r="U677" i="61"/>
  <c r="R677" i="61"/>
  <c r="M678" i="61" l="1"/>
  <c r="X678" i="61"/>
  <c r="U678" i="61"/>
  <c r="R678" i="61"/>
  <c r="M679" i="61" l="1"/>
  <c r="U679" i="61"/>
  <c r="X679" i="61"/>
  <c r="R679" i="61"/>
  <c r="M680" i="61" l="1"/>
  <c r="U680" i="61"/>
  <c r="X680" i="61"/>
  <c r="R680" i="61"/>
  <c r="M681" i="61" l="1"/>
  <c r="U681" i="61"/>
  <c r="X681" i="61"/>
  <c r="R681" i="61"/>
  <c r="M682" i="61" l="1"/>
  <c r="R682" i="61"/>
  <c r="X682" i="61"/>
  <c r="U682" i="61"/>
  <c r="M683" i="61" l="1"/>
  <c r="U683" i="61"/>
  <c r="R683" i="61"/>
  <c r="X683" i="61"/>
  <c r="M684" i="61" l="1"/>
  <c r="U684" i="61"/>
  <c r="X684" i="61"/>
  <c r="R684" i="61"/>
  <c r="M685" i="61" l="1"/>
  <c r="X685" i="61"/>
  <c r="U685" i="61"/>
  <c r="R685" i="61"/>
  <c r="M686" i="61" l="1"/>
  <c r="X686" i="61"/>
  <c r="U686" i="61"/>
  <c r="R686" i="61"/>
  <c r="M687" i="61" l="1"/>
  <c r="X687" i="61"/>
  <c r="R687" i="61"/>
  <c r="U687" i="61"/>
  <c r="M688" i="61" l="1"/>
  <c r="R688" i="61"/>
  <c r="X688" i="61"/>
  <c r="U688" i="61"/>
  <c r="M689" i="61" l="1"/>
  <c r="X689" i="61"/>
  <c r="U689" i="61"/>
  <c r="R689" i="61"/>
  <c r="M690" i="61" l="1"/>
  <c r="X690" i="61"/>
  <c r="R690" i="61"/>
  <c r="U690" i="61"/>
  <c r="M691" i="61" l="1"/>
  <c r="X691" i="61"/>
  <c r="U691" i="61"/>
  <c r="R691" i="61"/>
  <c r="M692" i="61" l="1"/>
  <c r="X692" i="61"/>
  <c r="U692" i="61"/>
  <c r="R692" i="61"/>
  <c r="M693" i="61" l="1"/>
  <c r="R693" i="61"/>
  <c r="X693" i="61"/>
  <c r="U693" i="61"/>
  <c r="M694" i="61" l="1"/>
  <c r="X694" i="61"/>
  <c r="U694" i="61"/>
  <c r="R694" i="61"/>
  <c r="M695" i="61" l="1"/>
  <c r="X695" i="61"/>
  <c r="R695" i="61"/>
  <c r="U695" i="61"/>
  <c r="M696" i="61" l="1"/>
  <c r="X696" i="61"/>
  <c r="R696" i="61"/>
  <c r="U696" i="61"/>
  <c r="M697" i="61" l="1"/>
  <c r="X697" i="61"/>
  <c r="U697" i="61"/>
  <c r="R697" i="61"/>
  <c r="M698" i="61" l="1"/>
  <c r="U698" i="61"/>
  <c r="R698" i="61"/>
  <c r="X698" i="61"/>
  <c r="M699" i="61" l="1"/>
  <c r="U699" i="61"/>
  <c r="R699" i="61"/>
  <c r="X699" i="61"/>
  <c r="M700" i="61" l="1"/>
  <c r="R700" i="61"/>
  <c r="U700" i="61"/>
  <c r="X700" i="61"/>
  <c r="M701" i="61" l="1"/>
  <c r="R701" i="61"/>
  <c r="U701" i="61"/>
  <c r="X701" i="61"/>
  <c r="M702" i="61" l="1"/>
  <c r="X702" i="61"/>
  <c r="U702" i="61"/>
  <c r="R702" i="61"/>
  <c r="M703" i="61" l="1"/>
  <c r="U703" i="61"/>
  <c r="X703" i="61"/>
  <c r="R703" i="61"/>
  <c r="M704" i="61" l="1"/>
  <c r="X704" i="61"/>
  <c r="R704" i="61"/>
  <c r="U704" i="61"/>
  <c r="M705" i="61" l="1"/>
  <c r="X705" i="61"/>
  <c r="R705" i="61"/>
  <c r="U705" i="61"/>
  <c r="M706" i="61" l="1"/>
  <c r="R706" i="61"/>
  <c r="X706" i="61"/>
  <c r="U706" i="61"/>
  <c r="M707" i="61" l="1"/>
  <c r="X707" i="61"/>
  <c r="U707" i="61"/>
  <c r="R707" i="61"/>
  <c r="M708" i="61" l="1"/>
  <c r="X708" i="61"/>
  <c r="R708" i="61"/>
  <c r="U708" i="61"/>
  <c r="M709" i="61" l="1"/>
  <c r="X709" i="61"/>
  <c r="R709" i="61"/>
  <c r="U709" i="61"/>
  <c r="M710" i="61" l="1"/>
  <c r="R710" i="61"/>
  <c r="X710" i="61"/>
  <c r="U710" i="61"/>
  <c r="M711" i="61" l="1"/>
  <c r="R711" i="61"/>
  <c r="U711" i="61"/>
  <c r="X711" i="61"/>
  <c r="M712" i="61" l="1"/>
  <c r="R712" i="61"/>
  <c r="X712" i="61"/>
  <c r="U712" i="61"/>
  <c r="M713" i="61" l="1"/>
  <c r="X713" i="61"/>
  <c r="U713" i="61"/>
  <c r="R713" i="61"/>
  <c r="M714" i="61" l="1"/>
  <c r="U714" i="61"/>
  <c r="X714" i="61"/>
  <c r="R714" i="61"/>
  <c r="M715" i="61" l="1"/>
  <c r="R715" i="61"/>
  <c r="X715" i="61"/>
  <c r="U715" i="61"/>
  <c r="M716" i="61" l="1"/>
  <c r="R716" i="61"/>
  <c r="X716" i="61"/>
  <c r="U716" i="61"/>
  <c r="M717" i="61" l="1"/>
  <c r="X717" i="61"/>
  <c r="U717" i="61"/>
  <c r="R717" i="61"/>
  <c r="M718" i="61" l="1"/>
  <c r="X718" i="61"/>
  <c r="Z7" i="61" s="1"/>
  <c r="U718" i="61"/>
  <c r="W9" i="61" s="1"/>
  <c r="R718" i="61"/>
  <c r="T5" i="61" s="1"/>
  <c r="Q3" i="61" l="1"/>
  <c r="Q14" i="61"/>
  <c r="Q9" i="61"/>
  <c r="Q16" i="61"/>
  <c r="Q5" i="61"/>
  <c r="Q6" i="61"/>
  <c r="Q13" i="61"/>
  <c r="Q4" i="61"/>
  <c r="Q7" i="61"/>
  <c r="Q11" i="61"/>
  <c r="Q10" i="61"/>
  <c r="Q12" i="61"/>
  <c r="Q8" i="61"/>
  <c r="Q15" i="61"/>
  <c r="Q19" i="61"/>
  <c r="Q17" i="61"/>
  <c r="Q18" i="61"/>
  <c r="Q21" i="61"/>
  <c r="Q20" i="61"/>
  <c r="Q22" i="61"/>
  <c r="Q25" i="61"/>
  <c r="Q23" i="61"/>
  <c r="Q24" i="61"/>
  <c r="Q26" i="61"/>
  <c r="Q27" i="61"/>
  <c r="Z50" i="61"/>
  <c r="Z573" i="61"/>
  <c r="Z139" i="61"/>
  <c r="Z42" i="61"/>
  <c r="Z446" i="61"/>
  <c r="Z218" i="61"/>
  <c r="Z67" i="61"/>
  <c r="Z260" i="61"/>
  <c r="Z270" i="61"/>
  <c r="Z490" i="61"/>
  <c r="Z208" i="61"/>
  <c r="Z601" i="61"/>
  <c r="Z276" i="61"/>
  <c r="Z308" i="61"/>
  <c r="Z596" i="61"/>
  <c r="Z273" i="61"/>
  <c r="Z486" i="61"/>
  <c r="Z512" i="61"/>
  <c r="Z507" i="61"/>
  <c r="Z413" i="61"/>
  <c r="Z127" i="61"/>
  <c r="Z189" i="61"/>
  <c r="Z716" i="61"/>
  <c r="Z140" i="61"/>
  <c r="Z185" i="61"/>
  <c r="Z190" i="61"/>
  <c r="Z394" i="61"/>
  <c r="Z319" i="61"/>
  <c r="Z150" i="61"/>
  <c r="Z661" i="61"/>
  <c r="Z149" i="61"/>
  <c r="Z440" i="61"/>
  <c r="Z578" i="61"/>
  <c r="Z335" i="61"/>
  <c r="Z160" i="61"/>
  <c r="Z229" i="61"/>
  <c r="Z675" i="61"/>
  <c r="Z329" i="61"/>
  <c r="Z198" i="61"/>
  <c r="Z695" i="61"/>
  <c r="Z280" i="61"/>
  <c r="Z268" i="61"/>
  <c r="Z550" i="61"/>
  <c r="Z599" i="61"/>
  <c r="Z407" i="61"/>
  <c r="Z649" i="61"/>
  <c r="Z448" i="61"/>
  <c r="Z103" i="61"/>
  <c r="Z219" i="61"/>
  <c r="Z689" i="61"/>
  <c r="Z377" i="61"/>
  <c r="Z176" i="61"/>
  <c r="Z257" i="61"/>
  <c r="Z81" i="61"/>
  <c r="Z145" i="61"/>
  <c r="Z645" i="61"/>
  <c r="Z18" i="61"/>
  <c r="Z638" i="61"/>
  <c r="Z232" i="61"/>
  <c r="Z152" i="61"/>
  <c r="Z126" i="61"/>
  <c r="Z48" i="61"/>
  <c r="Z496" i="61"/>
  <c r="Z591" i="61"/>
  <c r="Z116" i="61"/>
  <c r="Z409" i="61"/>
  <c r="Z696" i="61"/>
  <c r="Z509" i="61"/>
  <c r="Z223" i="61"/>
  <c r="Z154" i="61"/>
  <c r="Z598" i="61"/>
  <c r="Z349" i="61"/>
  <c r="Z63" i="61"/>
  <c r="Z125" i="61"/>
  <c r="Z76" i="61"/>
  <c r="Z315" i="61"/>
  <c r="Z549" i="61"/>
  <c r="Z79" i="61"/>
  <c r="Z385" i="61"/>
  <c r="Z243" i="61"/>
  <c r="Z156" i="61"/>
  <c r="Z73" i="61"/>
  <c r="Z8" i="61"/>
  <c r="Z13" i="61"/>
  <c r="Z489" i="61"/>
  <c r="Z107" i="61"/>
  <c r="Z153" i="61"/>
  <c r="Z109" i="61"/>
  <c r="Z318" i="61"/>
  <c r="Z569" i="61"/>
  <c r="Z294" i="61"/>
  <c r="Z323" i="61"/>
  <c r="Z557" i="61"/>
  <c r="Z314" i="61"/>
  <c r="Z336" i="61"/>
  <c r="Z560" i="61"/>
  <c r="Z572" i="61"/>
  <c r="Z354" i="61"/>
  <c r="Z530" i="61"/>
  <c r="Z29" i="61"/>
  <c r="Z580" i="61"/>
  <c r="Z56" i="61"/>
  <c r="Z542" i="61"/>
  <c r="Z484" i="61"/>
  <c r="Z609" i="61"/>
  <c r="Z652" i="61"/>
  <c r="Z240" i="61"/>
  <c r="Z90" i="61"/>
  <c r="Z199" i="61"/>
  <c r="Z492" i="61"/>
  <c r="Z698" i="61"/>
  <c r="Z142" i="61"/>
  <c r="Z390" i="61"/>
  <c r="Z322" i="61"/>
  <c r="Z131" i="61"/>
  <c r="Z469" i="61"/>
  <c r="Z432" i="61"/>
  <c r="Z655" i="61"/>
  <c r="Z52" i="61"/>
  <c r="Z345" i="61"/>
  <c r="Z418" i="61"/>
  <c r="Z445" i="61"/>
  <c r="Z159" i="61"/>
  <c r="Z82" i="61"/>
  <c r="Z241" i="61"/>
  <c r="Z639" i="61"/>
  <c r="Z468" i="61"/>
  <c r="Z278" i="61"/>
  <c r="Z525" i="61"/>
  <c r="Z239" i="61"/>
  <c r="Z481" i="61"/>
  <c r="Z339" i="61"/>
  <c r="Z279" i="61"/>
  <c r="Z62" i="61"/>
  <c r="Z80" i="61"/>
  <c r="Z36" i="61"/>
  <c r="Z316" i="61"/>
  <c r="Z470" i="61"/>
  <c r="Z574" i="61"/>
  <c r="Z186" i="61"/>
  <c r="Z157" i="61"/>
  <c r="Z130" i="61"/>
  <c r="Z471" i="61"/>
  <c r="Z669" i="61"/>
  <c r="Z443" i="61"/>
  <c r="Z615" i="61"/>
  <c r="Z283" i="61"/>
  <c r="Z123" i="61"/>
  <c r="Z357" i="61"/>
  <c r="Z203" i="61"/>
  <c r="Z614" i="61"/>
  <c r="Z538" i="61"/>
  <c r="Z288" i="61"/>
  <c r="Z44" i="61"/>
  <c r="Z296" i="61"/>
  <c r="Z597" i="61"/>
  <c r="Z213" i="61"/>
  <c r="Z493" i="61"/>
  <c r="Z148" i="61"/>
  <c r="Z612" i="61"/>
  <c r="Z53" i="61"/>
  <c r="Z170" i="61"/>
  <c r="Z683" i="61"/>
  <c r="Z216" i="61"/>
  <c r="Z694" i="61"/>
  <c r="Z3" i="61"/>
  <c r="Z69" i="61"/>
  <c r="Z576" i="61"/>
  <c r="Z233" i="61"/>
  <c r="Z647" i="61"/>
  <c r="Z359" i="61"/>
  <c r="Z289" i="61"/>
  <c r="Z459" i="61"/>
  <c r="Z399" i="61"/>
  <c r="Z106" i="61"/>
  <c r="Z451" i="61"/>
  <c r="Z321" i="61"/>
  <c r="Z325" i="61"/>
  <c r="Z715" i="61"/>
  <c r="Z162" i="61"/>
  <c r="Z456" i="61"/>
  <c r="Z656" i="61"/>
  <c r="Z707" i="61"/>
  <c r="Z710" i="61"/>
  <c r="Z665" i="61"/>
  <c r="Z242" i="61"/>
  <c r="Z212" i="61"/>
  <c r="Z302" i="61"/>
  <c r="Z522" i="61"/>
  <c r="Z586" i="61"/>
  <c r="Z57" i="61"/>
  <c r="Z708" i="61"/>
  <c r="Z124" i="61"/>
  <c r="Z105" i="61"/>
  <c r="Z54" i="61"/>
  <c r="Z299" i="61"/>
  <c r="Z320" i="61"/>
  <c r="Z254" i="61"/>
  <c r="Z133" i="61"/>
  <c r="Z297" i="61"/>
  <c r="Z583" i="61"/>
  <c r="Z423" i="61"/>
  <c r="Z419" i="61"/>
  <c r="Z202" i="61"/>
  <c r="Z333" i="61"/>
  <c r="Z488" i="61"/>
  <c r="Z352" i="61"/>
  <c r="Z274" i="61"/>
  <c r="Z635" i="61"/>
  <c r="Z505" i="61"/>
  <c r="Z121" i="61"/>
  <c r="Z14" i="61"/>
  <c r="Z494" i="61"/>
  <c r="Z180" i="61"/>
  <c r="Z556" i="61"/>
  <c r="Z630" i="61"/>
  <c r="Z292" i="61"/>
  <c r="Z31" i="61"/>
  <c r="Z670" i="61"/>
  <c r="Z366" i="61"/>
  <c r="Z206" i="61"/>
  <c r="Z396" i="61"/>
  <c r="Z686" i="61"/>
  <c r="Z272" i="61"/>
  <c r="Z674" i="61"/>
  <c r="Z389" i="61"/>
  <c r="Z701" i="61"/>
  <c r="Z712" i="61"/>
  <c r="Z129" i="61"/>
  <c r="Z167" i="61"/>
  <c r="Z401" i="61"/>
  <c r="Z637" i="61"/>
  <c r="Z136" i="61"/>
  <c r="Z498" i="61"/>
  <c r="Z379" i="61"/>
  <c r="Z305" i="61"/>
  <c r="Z714" i="61"/>
  <c r="Z207" i="61"/>
  <c r="Z513" i="61"/>
  <c r="Z32" i="61"/>
  <c r="Z479" i="61"/>
  <c r="Z101" i="61"/>
  <c r="Z690" i="61"/>
  <c r="Z201" i="61"/>
  <c r="Z466" i="61"/>
  <c r="Z60" i="61"/>
  <c r="Z41" i="61"/>
  <c r="Z293" i="61"/>
  <c r="Z43" i="61"/>
  <c r="Z192" i="61"/>
  <c r="Z600" i="61"/>
  <c r="Z467" i="61"/>
  <c r="Z77" i="61"/>
  <c r="Z553" i="61"/>
  <c r="Z24" i="61"/>
  <c r="Z347" i="61"/>
  <c r="Z264" i="61"/>
  <c r="Z351" i="61"/>
  <c r="Z629" i="61"/>
  <c r="Z181" i="61"/>
  <c r="Z388" i="61"/>
  <c r="Z506" i="61"/>
  <c r="Z277" i="61"/>
  <c r="Z491" i="61"/>
  <c r="Z387" i="61"/>
  <c r="Z487" i="61"/>
  <c r="Z11" i="61"/>
  <c r="Z621" i="61"/>
  <c r="Z680" i="61"/>
  <c r="Z502" i="61"/>
  <c r="Z504" i="61"/>
  <c r="Z608" i="61"/>
  <c r="Z93" i="61"/>
  <c r="Z262" i="61"/>
  <c r="Z672" i="61"/>
  <c r="Z455" i="61"/>
  <c r="Z114" i="61"/>
  <c r="Z659" i="61"/>
  <c r="Z376" i="61"/>
  <c r="Z454" i="61"/>
  <c r="Z158" i="61"/>
  <c r="Z115" i="61"/>
  <c r="Z28" i="61"/>
  <c r="Z128" i="61"/>
  <c r="Z143" i="61"/>
  <c r="Z449" i="61"/>
  <c r="Z307" i="61"/>
  <c r="Z644" i="61"/>
  <c r="Z37" i="61"/>
  <c r="Z137" i="61"/>
  <c r="Z613" i="61"/>
  <c r="Z4" i="61"/>
  <c r="Z252" i="61"/>
  <c r="Z700" i="61"/>
  <c r="Z217" i="61"/>
  <c r="Z173" i="61"/>
  <c r="Z298" i="61"/>
  <c r="Z358" i="61"/>
  <c r="Z108" i="61"/>
  <c r="Z383" i="61"/>
  <c r="Z592" i="61"/>
  <c r="Z676" i="61"/>
  <c r="Z21" i="61"/>
  <c r="Z713" i="61"/>
  <c r="Z344" i="61"/>
  <c r="Z625" i="61"/>
  <c r="Z249" i="61"/>
  <c r="Z643" i="61"/>
  <c r="Z499" i="61"/>
  <c r="Z391" i="61"/>
  <c r="Z523" i="61"/>
  <c r="Z392" i="61"/>
  <c r="Z91" i="61"/>
  <c r="Z458" i="61"/>
  <c r="Z636" i="61"/>
  <c r="Z365" i="61"/>
  <c r="Z20" i="61"/>
  <c r="Z562" i="61"/>
  <c r="Z182" i="61"/>
  <c r="Z534" i="61"/>
  <c r="Z70" i="61"/>
  <c r="Z660" i="61"/>
  <c r="Z478" i="61"/>
  <c r="Z74" i="61"/>
  <c r="Z424" i="61"/>
  <c r="Z330" i="61"/>
  <c r="Z673" i="61"/>
  <c r="Z441" i="61"/>
  <c r="Z161" i="61"/>
  <c r="Z427" i="61"/>
  <c r="Z135" i="61"/>
  <c r="Z428" i="61"/>
  <c r="Z528" i="61"/>
  <c r="Z558" i="61"/>
  <c r="Z547" i="61"/>
  <c r="Z463" i="61"/>
  <c r="Z678" i="61"/>
  <c r="Z196" i="61"/>
  <c r="Z310" i="61"/>
  <c r="Z30" i="61"/>
  <c r="Z83" i="61"/>
  <c r="Z582" i="61"/>
  <c r="Z23" i="61"/>
  <c r="Z290" i="61"/>
  <c r="Z561" i="61"/>
  <c r="Z163" i="61"/>
  <c r="Z119" i="61"/>
  <c r="Z412" i="61"/>
  <c r="Z100" i="61"/>
  <c r="Z195" i="61"/>
  <c r="Z238" i="61"/>
  <c r="Z191" i="61"/>
  <c r="Z473" i="61"/>
  <c r="Z699" i="61"/>
  <c r="Z704" i="61"/>
  <c r="Z685" i="61"/>
  <c r="Z386" i="61"/>
  <c r="Z187" i="61"/>
  <c r="Z421" i="61"/>
  <c r="Z650" i="61"/>
  <c r="Z589" i="61"/>
  <c r="Z453" i="61"/>
  <c r="Z668" i="61"/>
  <c r="Z59" i="61"/>
  <c r="Z563" i="61"/>
  <c r="Z72" i="61"/>
  <c r="Z651" i="61"/>
  <c r="Z384" i="61"/>
  <c r="Z590" i="61"/>
  <c r="Z193" i="61"/>
  <c r="Z658" i="61"/>
  <c r="Z267" i="61"/>
  <c r="Z408" i="61"/>
  <c r="Z430" i="61"/>
  <c r="Z442" i="61"/>
  <c r="Z328" i="61"/>
  <c r="Z480" i="61"/>
  <c r="Z607" i="61"/>
  <c r="Z436" i="61"/>
  <c r="Z438" i="61"/>
  <c r="Z214" i="61"/>
  <c r="Z210" i="61"/>
  <c r="Z667" i="61"/>
  <c r="Z324" i="61"/>
  <c r="Z47" i="61"/>
  <c r="Z236" i="61"/>
  <c r="Z147" i="61"/>
  <c r="Z285" i="61"/>
  <c r="Z342" i="61"/>
  <c r="Z631" i="61"/>
  <c r="Z375" i="61"/>
  <c r="Z369" i="61"/>
  <c r="Z227" i="61"/>
  <c r="Z183" i="61"/>
  <c r="Z476" i="61"/>
  <c r="Z642" i="61"/>
  <c r="Z271" i="61"/>
  <c r="Z96" i="61"/>
  <c r="Z92" i="61"/>
  <c r="Z9" i="61"/>
  <c r="Z546" i="61"/>
  <c r="Z113" i="61"/>
  <c r="Z626" i="61"/>
  <c r="Z617" i="61"/>
  <c r="Z406" i="61"/>
  <c r="Z474" i="61"/>
  <c r="Z434" i="61"/>
  <c r="Z75" i="61"/>
  <c r="Z618" i="61"/>
  <c r="Z460" i="61"/>
  <c r="Z259" i="61"/>
  <c r="Z346" i="61"/>
  <c r="Z46" i="61"/>
  <c r="Z531" i="61"/>
  <c r="Z581" i="61"/>
  <c r="Z602" i="61"/>
  <c r="Z205" i="61"/>
  <c r="Z684" i="61"/>
  <c r="Z38" i="61"/>
  <c r="Z26" i="61"/>
  <c r="Z431" i="61"/>
  <c r="Z17" i="61"/>
  <c r="Z697" i="61"/>
  <c r="Z628" i="61"/>
  <c r="Z200" i="61"/>
  <c r="Z405" i="61"/>
  <c r="Z416" i="61"/>
  <c r="Z671" i="61"/>
  <c r="Z372" i="61"/>
  <c r="Z571" i="61"/>
  <c r="Z679" i="61"/>
  <c r="Z356" i="61"/>
  <c r="Z565" i="61"/>
  <c r="Z245" i="61"/>
  <c r="Z452" i="61"/>
  <c r="Z374" i="61"/>
  <c r="Z510" i="61"/>
  <c r="Z10" i="61"/>
  <c r="Z197" i="61"/>
  <c r="Z250" i="61"/>
  <c r="Z266" i="61"/>
  <c r="Z263" i="61"/>
  <c r="Z258" i="61"/>
  <c r="Z340" i="61"/>
  <c r="Z400" i="61"/>
  <c r="Z687" i="61"/>
  <c r="Z501" i="61"/>
  <c r="Z472" i="61"/>
  <c r="Z517" i="61"/>
  <c r="Z653" i="61"/>
  <c r="Z666" i="61"/>
  <c r="Z49" i="61"/>
  <c r="Z585" i="61"/>
  <c r="Z570" i="61"/>
  <c r="Z503" i="61"/>
  <c r="Z27" i="61"/>
  <c r="Z332" i="61"/>
  <c r="Z110" i="61"/>
  <c r="Z634" i="61"/>
  <c r="Z362" i="61"/>
  <c r="Z641" i="61"/>
  <c r="Z555" i="61"/>
  <c r="Z104" i="61"/>
  <c r="Z657" i="61"/>
  <c r="Z664" i="61"/>
  <c r="Z398" i="61"/>
  <c r="Z132" i="61"/>
  <c r="Z425" i="61"/>
  <c r="Z611" i="61"/>
  <c r="Z6" i="61"/>
  <c r="Z692" i="61"/>
  <c r="Z301" i="61"/>
  <c r="Z410" i="61"/>
  <c r="Z709" i="61"/>
  <c r="Z141" i="61"/>
  <c r="Z97" i="61"/>
  <c r="Z411" i="61"/>
  <c r="Z367" i="61"/>
  <c r="Z514" i="61"/>
  <c r="Z78" i="61"/>
  <c r="Z231" i="61"/>
  <c r="Z172" i="61"/>
  <c r="Z447" i="61"/>
  <c r="Z230" i="61"/>
  <c r="Z341" i="61"/>
  <c r="Z194" i="61"/>
  <c r="Z171" i="61"/>
  <c r="Z256" i="61"/>
  <c r="Z511" i="61"/>
  <c r="Z711" i="61"/>
  <c r="Z248" i="61"/>
  <c r="Z33" i="61"/>
  <c r="Z395" i="61"/>
  <c r="Z282" i="61"/>
  <c r="Z610" i="61"/>
  <c r="Z370" i="61"/>
  <c r="Z627" i="61"/>
  <c r="Z40" i="61"/>
  <c r="Z286" i="61"/>
  <c r="Z605" i="61"/>
  <c r="Z604" i="61"/>
  <c r="Z313" i="61"/>
  <c r="Z184" i="61"/>
  <c r="Z624" i="61"/>
  <c r="Z705" i="61"/>
  <c r="Z284" i="61"/>
  <c r="Z251" i="61"/>
  <c r="Z338" i="61"/>
  <c r="Z603" i="61"/>
  <c r="Z397" i="61"/>
  <c r="Z111" i="61"/>
  <c r="Z353" i="61"/>
  <c r="Z211" i="61"/>
  <c r="Z371" i="61"/>
  <c r="Z575" i="61"/>
  <c r="Z532" i="61"/>
  <c r="Z51" i="61"/>
  <c r="Z303" i="61"/>
  <c r="Z545" i="61"/>
  <c r="Z64" i="61"/>
  <c r="Z34" i="61"/>
  <c r="Z87" i="61"/>
  <c r="Z380" i="61"/>
  <c r="Z144" i="61"/>
  <c r="Z393" i="61"/>
  <c r="Z429" i="61"/>
  <c r="Z477" i="61"/>
  <c r="Z253" i="61"/>
  <c r="Z564" i="61"/>
  <c r="Z287" i="61"/>
  <c r="Z234" i="61"/>
  <c r="Z520" i="61"/>
  <c r="Z426" i="61"/>
  <c r="Z209" i="61"/>
  <c r="Z360" i="61"/>
  <c r="Z548" i="61"/>
  <c r="Z646" i="61"/>
  <c r="Z606" i="61"/>
  <c r="Z616" i="61"/>
  <c r="Z373" i="61"/>
  <c r="Z485" i="61"/>
  <c r="Z334" i="61"/>
  <c r="Z403" i="61"/>
  <c r="Z717" i="61"/>
  <c r="Z98" i="61"/>
  <c r="Z595" i="61"/>
  <c r="Z435" i="61"/>
  <c r="Z420" i="61"/>
  <c r="Z422" i="61"/>
  <c r="Z138" i="61"/>
  <c r="Z497" i="61"/>
  <c r="Z16" i="61"/>
  <c r="Z311" i="61"/>
  <c r="Z188" i="61"/>
  <c r="Z706" i="61"/>
  <c r="Z66" i="61"/>
  <c r="Z151" i="61"/>
  <c r="Z444" i="61"/>
  <c r="Z25" i="61"/>
  <c r="Z164" i="61"/>
  <c r="Z457" i="61"/>
  <c r="Z593" i="61"/>
  <c r="Z495" i="61"/>
  <c r="Z134" i="61"/>
  <c r="Z662" i="61"/>
  <c r="Z228" i="61"/>
  <c r="Z178" i="61"/>
  <c r="Z61" i="61"/>
  <c r="Z537" i="61"/>
  <c r="Z12" i="61"/>
  <c r="Z640" i="61"/>
  <c r="Z269" i="61"/>
  <c r="Z559" i="61"/>
  <c r="Z58" i="61"/>
  <c r="Z224" i="61"/>
  <c r="Z568" i="61"/>
  <c r="Z86" i="61"/>
  <c r="Z326" i="61"/>
  <c r="Z65" i="61"/>
  <c r="Z681" i="61"/>
  <c r="Z533" i="61"/>
  <c r="Z677" i="61"/>
  <c r="Z515" i="61"/>
  <c r="Z450" i="61"/>
  <c r="Z166" i="61"/>
  <c r="Z84" i="61"/>
  <c r="Z622" i="61"/>
  <c r="Z177" i="61"/>
  <c r="Z691" i="61"/>
  <c r="Z146" i="61"/>
  <c r="Z155" i="61"/>
  <c r="Z633" i="61"/>
  <c r="Z295" i="61"/>
  <c r="Z529" i="61"/>
  <c r="Z577" i="61"/>
  <c r="Z118" i="61"/>
  <c r="Z94" i="61"/>
  <c r="Z99" i="61"/>
  <c r="Z55" i="61"/>
  <c r="Z348" i="61"/>
  <c r="Z415" i="61"/>
  <c r="Z355" i="61"/>
  <c r="Z567" i="61"/>
  <c r="Z439" i="61"/>
  <c r="Z433" i="61"/>
  <c r="Z291" i="61"/>
  <c r="Z247" i="61"/>
  <c r="Z540" i="61"/>
  <c r="Z312" i="61"/>
  <c r="Z587" i="61"/>
  <c r="Z552" i="61"/>
  <c r="Z368" i="61"/>
  <c r="Z327" i="61"/>
  <c r="Z220" i="61"/>
  <c r="Z566" i="61"/>
  <c r="Z381" i="61"/>
  <c r="Z95" i="61"/>
  <c r="Z244" i="61"/>
  <c r="Z15" i="61"/>
  <c r="Z300" i="61"/>
  <c r="Z179" i="61"/>
  <c r="Z461" i="61"/>
  <c r="Z175" i="61"/>
  <c r="Z417" i="61"/>
  <c r="Z275" i="61"/>
  <c r="Z337" i="61"/>
  <c r="Z648" i="61"/>
  <c r="Z483" i="61"/>
  <c r="Z465" i="61"/>
  <c r="Z475" i="61"/>
  <c r="Z437" i="61"/>
  <c r="Z579" i="61"/>
  <c r="Z584" i="61"/>
  <c r="Z22" i="61"/>
  <c r="Z702" i="61"/>
  <c r="Z554" i="61"/>
  <c r="Z535" i="61"/>
  <c r="Z122" i="61"/>
  <c r="Z551" i="61"/>
  <c r="Z536" i="61"/>
  <c r="Z174" i="61"/>
  <c r="Z221" i="61"/>
  <c r="Z693" i="61"/>
  <c r="Z378" i="61"/>
  <c r="Z117" i="61"/>
  <c r="Z306" i="61"/>
  <c r="Z619" i="61"/>
  <c r="Z663" i="61"/>
  <c r="Z343" i="61"/>
  <c r="Z39" i="61"/>
  <c r="Z204" i="61"/>
  <c r="Z414" i="61"/>
  <c r="Z309" i="61"/>
  <c r="Z516" i="61"/>
  <c r="Z35" i="61"/>
  <c r="Z246" i="61"/>
  <c r="Z226" i="61"/>
  <c r="Z688" i="61"/>
  <c r="Z524" i="61"/>
  <c r="Z88" i="61"/>
  <c r="Z363" i="61"/>
  <c r="Z71" i="61"/>
  <c r="Z364" i="61"/>
  <c r="Z464" i="61"/>
  <c r="Z623" i="61"/>
  <c r="Z168" i="61"/>
  <c r="Z703" i="61"/>
  <c r="Z404" i="61"/>
  <c r="Z518" i="61"/>
  <c r="Z544" i="61"/>
  <c r="Z526" i="61"/>
  <c r="Z500" i="61"/>
  <c r="Z19" i="61"/>
  <c r="Z462" i="61"/>
  <c r="Z519" i="61"/>
  <c r="Z304" i="61"/>
  <c r="Z482" i="61"/>
  <c r="Z225" i="61"/>
  <c r="Z120" i="61"/>
  <c r="Z654" i="61"/>
  <c r="Z331" i="61"/>
  <c r="Z594" i="61"/>
  <c r="Z261" i="61"/>
  <c r="Z382" i="61"/>
  <c r="Z527" i="61"/>
  <c r="Z102" i="61"/>
  <c r="Z402" i="61"/>
  <c r="Z235" i="61"/>
  <c r="Z215" i="61"/>
  <c r="Z508" i="61"/>
  <c r="Z89" i="61"/>
  <c r="Z45" i="61"/>
  <c r="Z521" i="61"/>
  <c r="Z539" i="61"/>
  <c r="Z350" i="61"/>
  <c r="Z68" i="61"/>
  <c r="Z361" i="61"/>
  <c r="Z281" i="61"/>
  <c r="Z237" i="61"/>
  <c r="Z620" i="61"/>
  <c r="Z682" i="61"/>
  <c r="Z112" i="61"/>
  <c r="Z632" i="61"/>
  <c r="Z541" i="61"/>
  <c r="Z255" i="61"/>
  <c r="Z317" i="61"/>
  <c r="Z222" i="61"/>
  <c r="Z543" i="61"/>
  <c r="Z85" i="61"/>
  <c r="Z588" i="61"/>
  <c r="Z5" i="61"/>
  <c r="Z169" i="61"/>
  <c r="Z165" i="61"/>
  <c r="Z265" i="61"/>
  <c r="Z718" i="61"/>
  <c r="W3" i="61"/>
  <c r="W6" i="61"/>
  <c r="W5" i="61"/>
  <c r="W4" i="61"/>
  <c r="W7" i="61"/>
  <c r="W8" i="61"/>
  <c r="W12" i="61"/>
  <c r="W10" i="61"/>
  <c r="W11" i="61"/>
  <c r="T13" i="61"/>
  <c r="T501" i="61"/>
  <c r="T275" i="61"/>
  <c r="T32" i="61"/>
  <c r="T482" i="61"/>
  <c r="T68" i="61"/>
  <c r="T438" i="61"/>
  <c r="T179" i="61"/>
  <c r="T8" i="61"/>
  <c r="T183" i="61"/>
  <c r="T22" i="61"/>
  <c r="T203" i="61"/>
  <c r="T318" i="61"/>
  <c r="T352" i="61"/>
  <c r="T95" i="61"/>
  <c r="T172" i="61"/>
  <c r="T193" i="61"/>
  <c r="T177" i="61"/>
  <c r="T154" i="61"/>
  <c r="T413" i="61"/>
  <c r="T508" i="61"/>
  <c r="T164" i="61"/>
  <c r="T568" i="61"/>
  <c r="T373" i="61"/>
  <c r="T441" i="61"/>
  <c r="T672" i="61"/>
  <c r="T525" i="61"/>
  <c r="T294" i="61"/>
  <c r="T632" i="61"/>
  <c r="T447" i="61"/>
  <c r="T246" i="61"/>
  <c r="T627" i="61"/>
  <c r="T216" i="61"/>
  <c r="T249" i="61"/>
  <c r="T629" i="61"/>
  <c r="T227" i="61"/>
  <c r="T301" i="61"/>
  <c r="T370" i="61"/>
  <c r="T262" i="61"/>
  <c r="T684" i="61"/>
  <c r="T93" i="61"/>
  <c r="T197" i="61"/>
  <c r="T309" i="61"/>
  <c r="T562" i="61"/>
  <c r="T90" i="61"/>
  <c r="T634" i="61"/>
  <c r="T50" i="61"/>
  <c r="T7" i="61"/>
  <c r="T449" i="61"/>
  <c r="T94" i="61"/>
  <c r="T661" i="61"/>
  <c r="T110" i="61"/>
  <c r="T470" i="61"/>
  <c r="T204" i="61"/>
  <c r="T279" i="61"/>
  <c r="T363" i="61"/>
  <c r="T270" i="61"/>
  <c r="T666" i="61"/>
  <c r="T705" i="61"/>
  <c r="T513" i="61"/>
  <c r="T137" i="61"/>
  <c r="T41" i="61"/>
  <c r="T178" i="61"/>
  <c r="T703" i="61"/>
  <c r="T588" i="61"/>
  <c r="T712" i="61"/>
  <c r="T290" i="61"/>
  <c r="T171" i="61"/>
  <c r="T148" i="61"/>
  <c r="T142" i="61"/>
  <c r="T314" i="61"/>
  <c r="T371" i="61"/>
  <c r="T686" i="61"/>
  <c r="T496" i="61"/>
  <c r="T692" i="61"/>
  <c r="T256" i="61"/>
  <c r="T625" i="61"/>
  <c r="T261" i="61"/>
  <c r="T239" i="61"/>
  <c r="T343" i="61"/>
  <c r="T560" i="61"/>
  <c r="T571" i="61"/>
  <c r="T223" i="61"/>
  <c r="T354" i="61"/>
  <c r="T410" i="61"/>
  <c r="T112" i="61"/>
  <c r="T484" i="61"/>
  <c r="T224" i="61"/>
  <c r="T498" i="61"/>
  <c r="T344" i="61"/>
  <c r="T320" i="61"/>
  <c r="T289" i="61"/>
  <c r="T104" i="61"/>
  <c r="T199" i="61"/>
  <c r="T519" i="61"/>
  <c r="T644" i="61"/>
  <c r="T198" i="61"/>
  <c r="T337" i="61"/>
  <c r="T461" i="61"/>
  <c r="T124" i="61"/>
  <c r="T511" i="61"/>
  <c r="T322" i="61"/>
  <c r="T358" i="61"/>
  <c r="T585" i="61"/>
  <c r="T640" i="61"/>
  <c r="T541" i="61"/>
  <c r="T715" i="61"/>
  <c r="T208" i="61"/>
  <c r="T219" i="61"/>
  <c r="T388" i="61"/>
  <c r="T623" i="61"/>
  <c r="T431" i="61"/>
  <c r="T538" i="61"/>
  <c r="T641" i="61"/>
  <c r="T222" i="61"/>
  <c r="T306" i="61"/>
  <c r="T243" i="61"/>
  <c r="T27" i="61"/>
  <c r="T443" i="61"/>
  <c r="T165" i="61"/>
  <c r="T234" i="61"/>
  <c r="T78" i="61"/>
  <c r="T291" i="61"/>
  <c r="T696" i="61"/>
  <c r="T495" i="61"/>
  <c r="T694" i="61"/>
  <c r="T581" i="61"/>
  <c r="T425" i="61"/>
  <c r="T44" i="61"/>
  <c r="T220" i="61"/>
  <c r="T345" i="61"/>
  <c r="T593" i="61"/>
  <c r="T456" i="61"/>
  <c r="T117" i="61"/>
  <c r="T546" i="61"/>
  <c r="T153" i="61"/>
  <c r="T502" i="61"/>
  <c r="T10" i="61"/>
  <c r="T646" i="61"/>
  <c r="T624" i="61"/>
  <c r="T382" i="61"/>
  <c r="T297" i="61"/>
  <c r="T630" i="61"/>
  <c r="T633" i="61"/>
  <c r="T98" i="61"/>
  <c r="T717" i="61"/>
  <c r="T553" i="61"/>
  <c r="T11" i="61"/>
  <c r="T648" i="61"/>
  <c r="T592" i="61"/>
  <c r="T693" i="61"/>
  <c r="T342" i="61"/>
  <c r="T615" i="61"/>
  <c r="T71" i="61"/>
  <c r="T577" i="61"/>
  <c r="T631" i="61"/>
  <c r="T474" i="61"/>
  <c r="T698" i="61"/>
  <c r="T499" i="61"/>
  <c r="T503" i="61"/>
  <c r="T619" i="61"/>
  <c r="T125" i="61"/>
  <c r="T606" i="61"/>
  <c r="T36" i="61"/>
  <c r="T699" i="61"/>
  <c r="T100" i="61"/>
  <c r="T340" i="61"/>
  <c r="T305" i="61"/>
  <c r="T120" i="61"/>
  <c r="T80" i="61"/>
  <c r="T602" i="61"/>
  <c r="T163" i="61"/>
  <c r="T231" i="61"/>
  <c r="T72" i="61"/>
  <c r="T711" i="61"/>
  <c r="T665" i="61"/>
  <c r="T87" i="61"/>
  <c r="T205" i="61"/>
  <c r="T457" i="61"/>
  <c r="T408" i="61"/>
  <c r="T428" i="61"/>
  <c r="T292" i="61"/>
  <c r="T91" i="61"/>
  <c r="T131" i="61"/>
  <c r="T650" i="61"/>
  <c r="T411" i="61"/>
  <c r="T360" i="61"/>
  <c r="T53" i="61"/>
  <c r="T317" i="61"/>
  <c r="T174" i="61"/>
  <c r="T582" i="61"/>
  <c r="T561" i="61"/>
  <c r="T84" i="61"/>
  <c r="T218" i="61"/>
  <c r="T676" i="61"/>
  <c r="T160" i="61"/>
  <c r="T706" i="61"/>
  <c r="T688" i="61"/>
  <c r="T689" i="61"/>
  <c r="T210" i="61"/>
  <c r="T313" i="61"/>
  <c r="T398" i="61"/>
  <c r="T365" i="61"/>
  <c r="T392" i="61"/>
  <c r="T612" i="61"/>
  <c r="T475" i="61"/>
  <c r="T419" i="61"/>
  <c r="T387" i="61"/>
  <c r="T132" i="61"/>
  <c r="T486" i="61"/>
  <c r="T551" i="61"/>
  <c r="T189" i="61"/>
  <c r="T158" i="61"/>
  <c r="T660" i="61"/>
  <c r="T332" i="61"/>
  <c r="T614" i="61"/>
  <c r="T576" i="61"/>
  <c r="T573" i="61"/>
  <c r="T130" i="61"/>
  <c r="T81" i="61"/>
  <c r="T493" i="61"/>
  <c r="T401" i="61"/>
  <c r="T129" i="61"/>
  <c r="T126" i="61"/>
  <c r="T510" i="61"/>
  <c r="T697" i="61"/>
  <c r="T55" i="61"/>
  <c r="T617" i="61"/>
  <c r="T75" i="61"/>
  <c r="T67" i="61"/>
  <c r="T63" i="61"/>
  <c r="T265" i="61"/>
  <c r="T102" i="61"/>
  <c r="T20" i="61"/>
  <c r="T430" i="61"/>
  <c r="T604" i="61"/>
  <c r="T30" i="61"/>
  <c r="T469" i="61"/>
  <c r="T497" i="61"/>
  <c r="T173" i="61"/>
  <c r="T159" i="61"/>
  <c r="T139" i="61"/>
  <c r="T206" i="61"/>
  <c r="T59" i="61"/>
  <c r="T34" i="61"/>
  <c r="T362" i="61"/>
  <c r="T407" i="61"/>
  <c r="T127" i="61"/>
  <c r="T506" i="61"/>
  <c r="T491" i="61"/>
  <c r="T565" i="61"/>
  <c r="T368" i="61"/>
  <c r="T259" i="61"/>
  <c r="T384" i="61"/>
  <c r="T180" i="61"/>
  <c r="T367" i="61"/>
  <c r="T500" i="61"/>
  <c r="T76" i="61"/>
  <c r="T471" i="61"/>
  <c r="T635" i="61"/>
  <c r="T680" i="61"/>
  <c r="T549" i="61"/>
  <c r="T232" i="61"/>
  <c r="T46" i="61"/>
  <c r="T420" i="61"/>
  <c r="T679" i="61"/>
  <c r="T18" i="61"/>
  <c r="T529" i="61"/>
  <c r="T39" i="61"/>
  <c r="T214" i="61"/>
  <c r="T473" i="61"/>
  <c r="T480" i="61"/>
  <c r="T685" i="61"/>
  <c r="T350" i="61"/>
  <c r="T609" i="61"/>
  <c r="T221" i="61"/>
  <c r="T695" i="61"/>
  <c r="T254" i="61"/>
  <c r="T133" i="61"/>
  <c r="T74" i="61"/>
  <c r="T642" i="61"/>
  <c r="T656" i="61"/>
  <c r="T346" i="61"/>
  <c r="T240" i="61"/>
  <c r="T643" i="61"/>
  <c r="T134" i="61"/>
  <c r="T334" i="61"/>
  <c r="T621" i="61"/>
  <c r="T563" i="61"/>
  <c r="T478" i="61"/>
  <c r="T639" i="61"/>
  <c r="T414" i="61"/>
  <c r="T99" i="61"/>
  <c r="T597" i="61"/>
  <c r="T406" i="61"/>
  <c r="T520" i="61"/>
  <c r="T522" i="61"/>
  <c r="T465" i="61"/>
  <c r="T235" i="61"/>
  <c r="T101" i="61"/>
  <c r="T43" i="61"/>
  <c r="T645" i="61"/>
  <c r="T638" i="61"/>
  <c r="T667" i="61"/>
  <c r="T170" i="61"/>
  <c r="T594" i="61"/>
  <c r="T376" i="61"/>
  <c r="T329" i="61"/>
  <c r="T514" i="61"/>
  <c r="T476" i="61"/>
  <c r="T287" i="61"/>
  <c r="T295" i="61"/>
  <c r="T242" i="61"/>
  <c r="T583" i="61"/>
  <c r="T151" i="61"/>
  <c r="T29" i="61"/>
  <c r="T56" i="61"/>
  <c r="T442" i="61"/>
  <c r="T106" i="61"/>
  <c r="T19" i="61"/>
  <c r="T38" i="61"/>
  <c r="T707" i="61"/>
  <c r="T397" i="61"/>
  <c r="T175" i="61"/>
  <c r="T472" i="61"/>
  <c r="T436" i="61"/>
  <c r="T543" i="61"/>
  <c r="T296" i="61"/>
  <c r="T448" i="61"/>
  <c r="T637" i="61"/>
  <c r="T252" i="61"/>
  <c r="T450" i="61"/>
  <c r="T70" i="61"/>
  <c r="T607" i="61"/>
  <c r="T369" i="61"/>
  <c r="T580" i="61"/>
  <c r="T149" i="61"/>
  <c r="T356" i="61"/>
  <c r="T616" i="61"/>
  <c r="T671" i="61"/>
  <c r="T77" i="61"/>
  <c r="T65" i="61"/>
  <c r="T385" i="61"/>
  <c r="T700" i="61"/>
  <c r="T613" i="61"/>
  <c r="T107" i="61"/>
  <c r="T386" i="61"/>
  <c r="T535" i="61"/>
  <c r="T140" i="61"/>
  <c r="T35" i="61"/>
  <c r="T528" i="61"/>
  <c r="T226" i="61"/>
  <c r="T405" i="61"/>
  <c r="T228" i="61"/>
  <c r="T505" i="61"/>
  <c r="T544" i="61"/>
  <c r="T589" i="61"/>
  <c r="T424" i="61"/>
  <c r="T14" i="61"/>
  <c r="T587" i="61"/>
  <c r="T6" i="61"/>
  <c r="T69" i="61"/>
  <c r="T280" i="61"/>
  <c r="T349" i="61"/>
  <c r="T335" i="61"/>
  <c r="T379" i="61"/>
  <c r="T51" i="61"/>
  <c r="T247" i="61"/>
  <c r="T114" i="61"/>
  <c r="T267" i="61"/>
  <c r="T277" i="61"/>
  <c r="T272" i="61"/>
  <c r="T426" i="61"/>
  <c r="T105" i="61"/>
  <c r="T558" i="61"/>
  <c r="T364" i="61"/>
  <c r="T415" i="61"/>
  <c r="T327" i="61"/>
  <c r="T328" i="61"/>
  <c r="T33" i="61"/>
  <c r="T403" i="61"/>
  <c r="T416" i="61"/>
  <c r="T66" i="61"/>
  <c r="T299" i="61"/>
  <c r="T421" i="61"/>
  <c r="T417" i="61"/>
  <c r="T196" i="61"/>
  <c r="T534" i="61"/>
  <c r="T308" i="61"/>
  <c r="T4" i="61"/>
  <c r="T663" i="61"/>
  <c r="T526" i="61"/>
  <c r="T439" i="61"/>
  <c r="T713" i="61"/>
  <c r="T351" i="61"/>
  <c r="T669" i="61"/>
  <c r="T188" i="61"/>
  <c r="T9" i="61"/>
  <c r="T437" i="61"/>
  <c r="T257" i="61"/>
  <c r="T282" i="61"/>
  <c r="T381" i="61"/>
  <c r="T626" i="61"/>
  <c r="T176" i="61"/>
  <c r="T691" i="61"/>
  <c r="T539" i="61"/>
  <c r="T190" i="61"/>
  <c r="T662" i="61"/>
  <c r="T488" i="61"/>
  <c r="T620" i="61"/>
  <c r="T209" i="61"/>
  <c r="T451" i="61"/>
  <c r="T92" i="61"/>
  <c r="T303" i="61"/>
  <c r="T248" i="61"/>
  <c r="T494" i="61"/>
  <c r="T300" i="61"/>
  <c r="T58" i="61"/>
  <c r="T575" i="61"/>
  <c r="T432" i="61"/>
  <c r="T293" i="61"/>
  <c r="T251" i="61"/>
  <c r="T192" i="61"/>
  <c r="T128" i="61"/>
  <c r="T670" i="61"/>
  <c r="T323" i="61"/>
  <c r="T271" i="61"/>
  <c r="T462" i="61"/>
  <c r="T527" i="61"/>
  <c r="T169" i="61"/>
  <c r="T162" i="61"/>
  <c r="T463" i="61"/>
  <c r="T40" i="61"/>
  <c r="T574" i="61"/>
  <c r="T433" i="61"/>
  <c r="T339" i="61"/>
  <c r="T678" i="61"/>
  <c r="T15" i="61"/>
  <c r="T375" i="61"/>
  <c r="T182" i="61"/>
  <c r="T649" i="61"/>
  <c r="T512" i="61"/>
  <c r="T605" i="61"/>
  <c r="T459" i="61"/>
  <c r="T453" i="61"/>
  <c r="T572" i="61"/>
  <c r="T166" i="61"/>
  <c r="T378" i="61"/>
  <c r="T409" i="61"/>
  <c r="T390" i="61"/>
  <c r="T687" i="61"/>
  <c r="T654" i="61"/>
  <c r="T21" i="61"/>
  <c r="T286" i="61"/>
  <c r="T274" i="61"/>
  <c r="T263" i="61"/>
  <c r="T157" i="61"/>
  <c r="T366" i="61"/>
  <c r="T82" i="61"/>
  <c r="T596" i="61"/>
  <c r="T542" i="61"/>
  <c r="T591" i="61"/>
  <c r="T26" i="61"/>
  <c r="T138" i="61"/>
  <c r="T434" i="61"/>
  <c r="T260" i="61"/>
  <c r="T559" i="61"/>
  <c r="T253" i="61"/>
  <c r="T675" i="61"/>
  <c r="T655" i="61"/>
  <c r="T552" i="61"/>
  <c r="T485" i="61"/>
  <c r="T636" i="61"/>
  <c r="T185" i="61"/>
  <c r="T116" i="61"/>
  <c r="T652" i="61"/>
  <c r="T464" i="61"/>
  <c r="T668" i="61"/>
  <c r="T554" i="61"/>
  <c r="T57" i="61"/>
  <c r="T657" i="61"/>
  <c r="T284" i="61"/>
  <c r="T545" i="61"/>
  <c r="T702" i="61"/>
  <c r="T708" i="61"/>
  <c r="T394" i="61"/>
  <c r="T45" i="61"/>
  <c r="T487" i="61"/>
  <c r="T135" i="61"/>
  <c r="T567" i="61"/>
  <c r="T42" i="61"/>
  <c r="T714" i="61"/>
  <c r="T569" i="61"/>
  <c r="T412" i="61"/>
  <c r="T653" i="61"/>
  <c r="T492" i="61"/>
  <c r="T489" i="61"/>
  <c r="T333" i="61"/>
  <c r="T236" i="61"/>
  <c r="T278" i="61"/>
  <c r="T230" i="61"/>
  <c r="T548" i="61"/>
  <c r="T202" i="61"/>
  <c r="T610" i="61"/>
  <c r="T238" i="61"/>
  <c r="T566" i="61"/>
  <c r="T96" i="61"/>
  <c r="T312" i="61"/>
  <c r="T150" i="61"/>
  <c r="T709" i="61"/>
  <c r="T683" i="61"/>
  <c r="T361" i="61"/>
  <c r="T515" i="61"/>
  <c r="T49" i="61"/>
  <c r="T690" i="61"/>
  <c r="T273" i="61"/>
  <c r="T399" i="61"/>
  <c r="T85" i="61"/>
  <c r="T207" i="61"/>
  <c r="T584" i="61"/>
  <c r="T201" i="61"/>
  <c r="T16" i="61"/>
  <c r="T97" i="61"/>
  <c r="T468" i="61"/>
  <c r="T673" i="61"/>
  <c r="T628" i="61"/>
  <c r="T517" i="61"/>
  <c r="T212" i="61"/>
  <c r="T143" i="61"/>
  <c r="T338" i="61"/>
  <c r="T599" i="61"/>
  <c r="T54" i="61"/>
  <c r="T195" i="61"/>
  <c r="T454" i="61"/>
  <c r="T211" i="61"/>
  <c r="T540" i="61"/>
  <c r="T213" i="61"/>
  <c r="T304" i="61"/>
  <c r="T418" i="61"/>
  <c r="T245" i="61"/>
  <c r="T281" i="61"/>
  <c r="T598" i="61"/>
  <c r="T380" i="61"/>
  <c r="T146" i="61"/>
  <c r="T89" i="61"/>
  <c r="T518" i="61"/>
  <c r="T145" i="61"/>
  <c r="T524" i="61"/>
  <c r="T659" i="61"/>
  <c r="T651" i="61"/>
  <c r="T521" i="61"/>
  <c r="T477" i="61"/>
  <c r="T37" i="61"/>
  <c r="T155" i="61"/>
  <c r="T62" i="61"/>
  <c r="T595" i="61"/>
  <c r="T144" i="61"/>
  <c r="T167" i="61"/>
  <c r="T601" i="61"/>
  <c r="T23" i="61"/>
  <c r="T611" i="61"/>
  <c r="T24" i="61"/>
  <c r="T122" i="61"/>
  <c r="T187" i="61"/>
  <c r="T233" i="61"/>
  <c r="T307" i="61"/>
  <c r="T347" i="61"/>
  <c r="T119" i="61"/>
  <c r="T523" i="61"/>
  <c r="T681" i="61"/>
  <c r="T716" i="61"/>
  <c r="T704" i="61"/>
  <c r="T509" i="61"/>
  <c r="T556" i="61"/>
  <c r="T393" i="61"/>
  <c r="T429" i="61"/>
  <c r="T86" i="61"/>
  <c r="T250" i="61"/>
  <c r="T258" i="61"/>
  <c r="T531" i="61"/>
  <c r="T113" i="61"/>
  <c r="T466" i="61"/>
  <c r="T217" i="61"/>
  <c r="T550" i="61"/>
  <c r="T422" i="61"/>
  <c r="T355" i="61"/>
  <c r="T244" i="61"/>
  <c r="T237" i="61"/>
  <c r="T458" i="61"/>
  <c r="T229" i="61"/>
  <c r="T152" i="61"/>
  <c r="T109" i="61"/>
  <c r="T288" i="61"/>
  <c r="T674" i="61"/>
  <c r="T324" i="61"/>
  <c r="T181" i="61"/>
  <c r="T79" i="61"/>
  <c r="T647" i="61"/>
  <c r="T586" i="61"/>
  <c r="T194" i="61"/>
  <c r="T400" i="61"/>
  <c r="T241" i="61"/>
  <c r="T444" i="61"/>
  <c r="T83" i="61"/>
  <c r="T319" i="61"/>
  <c r="T353" i="61"/>
  <c r="T276" i="61"/>
  <c r="T391" i="61"/>
  <c r="T111" i="61"/>
  <c r="T536" i="61"/>
  <c r="T73" i="61"/>
  <c r="T123" i="61"/>
  <c r="T427" i="61"/>
  <c r="T136" i="61"/>
  <c r="T88" i="61"/>
  <c r="T603" i="61"/>
  <c r="T266" i="61"/>
  <c r="T283" i="61"/>
  <c r="T483" i="61"/>
  <c r="T445" i="61"/>
  <c r="T325" i="61"/>
  <c r="T374" i="61"/>
  <c r="T590" i="61"/>
  <c r="T268" i="61"/>
  <c r="T404" i="61"/>
  <c r="T658" i="61"/>
  <c r="T48" i="61"/>
  <c r="T532" i="61"/>
  <c r="T396" i="61"/>
  <c r="T578" i="61"/>
  <c r="T547" i="61"/>
  <c r="T321" i="61"/>
  <c r="T3" i="61"/>
  <c r="T60" i="61"/>
  <c r="T103" i="61"/>
  <c r="T537" i="61"/>
  <c r="T269" i="61"/>
  <c r="T479" i="61"/>
  <c r="T423" i="61"/>
  <c r="T677" i="61"/>
  <c r="T61" i="61"/>
  <c r="T311" i="61"/>
  <c r="T285" i="61"/>
  <c r="T331" i="61"/>
  <c r="T326" i="61"/>
  <c r="T316" i="61"/>
  <c r="T481" i="61"/>
  <c r="T452" i="61"/>
  <c r="T564" i="61"/>
  <c r="T348" i="61"/>
  <c r="T516" i="61"/>
  <c r="T225" i="61"/>
  <c r="T121" i="61"/>
  <c r="T17" i="61"/>
  <c r="T315" i="61"/>
  <c r="T156" i="61"/>
  <c r="T372" i="61"/>
  <c r="T64" i="61"/>
  <c r="T28" i="61"/>
  <c r="T557" i="61"/>
  <c r="T622" i="61"/>
  <c r="T12" i="61"/>
  <c r="T618" i="61"/>
  <c r="T357" i="61"/>
  <c r="T184" i="61"/>
  <c r="T701" i="61"/>
  <c r="T579" i="61"/>
  <c r="T402" i="61"/>
  <c r="T608" i="61"/>
  <c r="T389" i="61"/>
  <c r="T147" i="61"/>
  <c r="T377" i="61"/>
  <c r="T330" i="61"/>
  <c r="T47" i="61"/>
  <c r="T600" i="61"/>
  <c r="T310" i="61"/>
  <c r="T31" i="61"/>
  <c r="T25" i="61"/>
  <c r="T395" i="61"/>
  <c r="T455" i="61"/>
  <c r="T215" i="61"/>
  <c r="T200" i="61"/>
  <c r="T255" i="61"/>
  <c r="T570" i="61"/>
  <c r="T341" i="61"/>
  <c r="T530" i="61"/>
  <c r="T302" i="61"/>
  <c r="T718" i="61"/>
  <c r="T118" i="61"/>
  <c r="T435" i="61"/>
  <c r="T383" i="61"/>
  <c r="T168" i="61"/>
  <c r="T264" i="61"/>
  <c r="T115" i="61"/>
  <c r="T298" i="61"/>
  <c r="T710" i="61"/>
  <c r="T440" i="61"/>
  <c r="T490" i="61"/>
  <c r="T336" i="61"/>
  <c r="T467" i="61"/>
  <c r="T504" i="61"/>
  <c r="T186" i="61"/>
  <c r="T446" i="61"/>
  <c r="T682" i="61"/>
  <c r="T161" i="61"/>
  <c r="T555" i="61"/>
  <c r="T191" i="61"/>
  <c r="T141" i="61"/>
  <c r="T507" i="61"/>
  <c r="T460" i="61"/>
  <c r="T52" i="61"/>
  <c r="T108" i="61"/>
  <c r="T664" i="61"/>
  <c r="T533" i="61"/>
  <c r="T359" i="61"/>
  <c r="W57" i="61"/>
  <c r="W633" i="61"/>
  <c r="W86" i="61"/>
  <c r="W412" i="61"/>
  <c r="W443" i="61"/>
  <c r="W190" i="61"/>
  <c r="W24" i="61"/>
  <c r="W528" i="61"/>
  <c r="W613" i="61"/>
  <c r="W292" i="61"/>
  <c r="W313" i="61"/>
  <c r="W550" i="61"/>
  <c r="W423" i="61"/>
  <c r="W454" i="61"/>
  <c r="W666" i="61"/>
  <c r="W603" i="61"/>
  <c r="W506" i="61"/>
  <c r="W474" i="61"/>
  <c r="W517" i="61"/>
  <c r="W290" i="61"/>
  <c r="W70" i="61"/>
  <c r="W602" i="61"/>
  <c r="W42" i="61"/>
  <c r="W253" i="61"/>
  <c r="W478" i="61"/>
  <c r="W643" i="61"/>
  <c r="W78" i="61"/>
  <c r="W395" i="61"/>
  <c r="W180" i="61"/>
  <c r="W334" i="61"/>
  <c r="W154" i="61"/>
  <c r="W299" i="61"/>
  <c r="W365" i="61"/>
  <c r="W305" i="61"/>
  <c r="W192" i="61"/>
  <c r="W40" i="61"/>
  <c r="W336" i="61"/>
  <c r="W352" i="61"/>
  <c r="W45" i="61"/>
  <c r="W544" i="61"/>
  <c r="W567" i="61"/>
  <c r="W390" i="61"/>
  <c r="W26" i="61"/>
  <c r="W623" i="61"/>
  <c r="W481" i="61"/>
  <c r="W569" i="61"/>
  <c r="W373" i="61"/>
  <c r="W432" i="61"/>
  <c r="W642" i="61"/>
  <c r="W333" i="61"/>
  <c r="W144" i="61"/>
  <c r="W206" i="61"/>
  <c r="W579" i="61"/>
  <c r="W520" i="61"/>
  <c r="W94" i="61"/>
  <c r="W230" i="61"/>
  <c r="W122" i="61"/>
  <c r="W547" i="61"/>
  <c r="W530" i="61"/>
  <c r="W275" i="61"/>
  <c r="W324" i="61"/>
  <c r="W703" i="61"/>
  <c r="W457" i="61"/>
  <c r="W92" i="61"/>
  <c r="W482" i="61"/>
  <c r="W204" i="61"/>
  <c r="W476" i="61"/>
  <c r="W191" i="61"/>
  <c r="W413" i="61"/>
  <c r="W507" i="61"/>
  <c r="W371" i="61"/>
  <c r="W617" i="61"/>
  <c r="W68" i="61"/>
  <c r="W63" i="61"/>
  <c r="W317" i="61"/>
  <c r="W421" i="61"/>
  <c r="W288" i="61"/>
  <c r="W221" i="61"/>
  <c r="W385" i="61"/>
  <c r="W554" i="61"/>
  <c r="W18" i="61"/>
  <c r="W179" i="61"/>
  <c r="W128" i="61"/>
  <c r="W560" i="61"/>
  <c r="W229" i="61"/>
  <c r="W165" i="61"/>
  <c r="W498" i="61"/>
  <c r="W663" i="61"/>
  <c r="W422" i="61"/>
  <c r="W201" i="61"/>
  <c r="W250" i="61"/>
  <c r="W315" i="61"/>
  <c r="W188" i="61"/>
  <c r="W505" i="61"/>
  <c r="W196" i="61"/>
  <c r="W418" i="61"/>
  <c r="W81" i="61"/>
  <c r="W353" i="61"/>
  <c r="W630" i="61"/>
  <c r="W318" i="61"/>
  <c r="W85" i="61"/>
  <c r="W431" i="61"/>
  <c r="W384" i="61"/>
  <c r="W586" i="61"/>
  <c r="W171" i="61"/>
  <c r="W361" i="61"/>
  <c r="W64" i="61"/>
  <c r="W295" i="61"/>
  <c r="W706" i="61"/>
  <c r="W198" i="61"/>
  <c r="W308" i="61"/>
  <c r="W83" i="61"/>
  <c r="W691" i="61"/>
  <c r="W572" i="61"/>
  <c r="W645" i="61"/>
  <c r="W284" i="61"/>
  <c r="W261" i="61"/>
  <c r="W707" i="61"/>
  <c r="W389" i="61"/>
  <c r="W486" i="61"/>
  <c r="W282" i="61"/>
  <c r="W34" i="61"/>
  <c r="W269" i="61"/>
  <c r="W578" i="61"/>
  <c r="W683" i="61"/>
  <c r="W492" i="61"/>
  <c r="W354" i="61"/>
  <c r="W121" i="61"/>
  <c r="W127" i="61"/>
  <c r="W203" i="61"/>
  <c r="W465" i="61"/>
  <c r="W286" i="61"/>
  <c r="W655" i="61"/>
  <c r="W661" i="61"/>
  <c r="W581" i="61"/>
  <c r="W604" i="61"/>
  <c r="W289" i="61"/>
  <c r="W714" i="61"/>
  <c r="W214" i="61"/>
  <c r="W53" i="61"/>
  <c r="W102" i="61"/>
  <c r="W458" i="61"/>
  <c r="W429" i="61"/>
  <c r="W88" i="61"/>
  <c r="W29" i="61"/>
  <c r="W441" i="61"/>
  <c r="W124" i="61"/>
  <c r="W540" i="61"/>
  <c r="W119" i="61"/>
  <c r="W186" i="61"/>
  <c r="W183" i="61"/>
  <c r="W109" i="61"/>
  <c r="W649" i="61"/>
  <c r="W182" i="61"/>
  <c r="W533" i="61"/>
  <c r="W173" i="61"/>
  <c r="W33" i="61"/>
  <c r="W669" i="61"/>
  <c r="W444" i="61"/>
  <c r="W14" i="61"/>
  <c r="W635" i="61"/>
  <c r="W301" i="61"/>
  <c r="W466" i="61"/>
  <c r="W658" i="61"/>
  <c r="W618" i="61"/>
  <c r="W260" i="61"/>
  <c r="W310" i="61"/>
  <c r="W651" i="61"/>
  <c r="W147" i="61"/>
  <c r="W99" i="61"/>
  <c r="W592" i="61"/>
  <c r="W685" i="61"/>
  <c r="W383" i="61"/>
  <c r="W298" i="61"/>
  <c r="W449" i="61"/>
  <c r="W142" i="61"/>
  <c r="W37" i="61"/>
  <c r="W667" i="61"/>
  <c r="W175" i="61"/>
  <c r="W514" i="61"/>
  <c r="W341" i="61"/>
  <c r="W60" i="61"/>
  <c r="W619" i="61"/>
  <c r="W673" i="61"/>
  <c r="W30" i="61"/>
  <c r="W185" i="61"/>
  <c r="W330" i="61"/>
  <c r="W195" i="61"/>
  <c r="W225" i="61"/>
  <c r="W143" i="61"/>
  <c r="W403" i="61"/>
  <c r="W287" i="61"/>
  <c r="W212" i="61"/>
  <c r="W283" i="61"/>
  <c r="W168" i="61"/>
  <c r="W47" i="61"/>
  <c r="W226" i="61"/>
  <c r="W397" i="61"/>
  <c r="W151" i="61"/>
  <c r="W599" i="61"/>
  <c r="W698" i="61"/>
  <c r="W234" i="61"/>
  <c r="W590" i="61"/>
  <c r="W417" i="61"/>
  <c r="W639" i="61"/>
  <c r="W328" i="61"/>
  <c r="W687" i="61"/>
  <c r="W280" i="61"/>
  <c r="W641" i="61"/>
  <c r="W248" i="61"/>
  <c r="W366" i="61"/>
  <c r="W22" i="61"/>
  <c r="W382" i="61"/>
  <c r="W101" i="61"/>
  <c r="W39" i="61"/>
  <c r="W629" i="61"/>
  <c r="W263" i="61"/>
  <c r="W364" i="61"/>
  <c r="W320" i="61"/>
  <c r="W467" i="61"/>
  <c r="W446" i="61"/>
  <c r="W205" i="61"/>
  <c r="W447" i="61"/>
  <c r="W596" i="61"/>
  <c r="W181" i="61"/>
  <c r="W75" i="61"/>
  <c r="W268" i="61"/>
  <c r="W461" i="61"/>
  <c r="W375" i="61"/>
  <c r="W512" i="61"/>
  <c r="W141" i="61"/>
  <c r="W659" i="61"/>
  <c r="W558" i="61"/>
  <c r="W224" i="61"/>
  <c r="W117" i="61"/>
  <c r="W710" i="61"/>
  <c r="W637" i="61"/>
  <c r="W609" i="61"/>
  <c r="W211" i="61"/>
  <c r="W58" i="61"/>
  <c r="W589" i="61"/>
  <c r="W583" i="61"/>
  <c r="W62" i="61"/>
  <c r="W479" i="61"/>
  <c r="W491" i="61"/>
  <c r="W129" i="61"/>
  <c r="W511" i="61"/>
  <c r="W161" i="61"/>
  <c r="W38" i="61"/>
  <c r="W349" i="61"/>
  <c r="W439" i="61"/>
  <c r="W348" i="61"/>
  <c r="W695" i="61"/>
  <c r="W276" i="61"/>
  <c r="W174" i="61"/>
  <c r="W267" i="61"/>
  <c r="W131" i="61"/>
  <c r="W210" i="61"/>
  <c r="W509" i="61"/>
  <c r="W242" i="61"/>
  <c r="W266" i="61"/>
  <c r="W537" i="61"/>
  <c r="W297" i="61"/>
  <c r="W442" i="61"/>
  <c r="W247" i="61"/>
  <c r="W556" i="61"/>
  <c r="W240" i="61"/>
  <c r="W580" i="61"/>
  <c r="W374" i="61"/>
  <c r="W674" i="61"/>
  <c r="W591" i="61"/>
  <c r="W316" i="61"/>
  <c r="W23" i="61"/>
  <c r="W391" i="61"/>
  <c r="W50" i="61"/>
  <c r="W332" i="61"/>
  <c r="W711" i="61"/>
  <c r="W665" i="61"/>
  <c r="W681" i="61"/>
  <c r="W95" i="61"/>
  <c r="W321" i="61"/>
  <c r="W113" i="61"/>
  <c r="W621" i="61"/>
  <c r="W100" i="61"/>
  <c r="W489" i="61"/>
  <c r="W597" i="61"/>
  <c r="W625" i="61"/>
  <c r="W484" i="61"/>
  <c r="W594" i="61"/>
  <c r="W435" i="61"/>
  <c r="W573" i="61"/>
  <c r="W522" i="61"/>
  <c r="W207" i="61"/>
  <c r="W548" i="61"/>
  <c r="W172" i="61"/>
  <c r="W434" i="61"/>
  <c r="W314" i="61"/>
  <c r="W662" i="61"/>
  <c r="W564" i="61"/>
  <c r="W187" i="61"/>
  <c r="W697" i="61"/>
  <c r="W425" i="61"/>
  <c r="W97" i="61"/>
  <c r="W220" i="61"/>
  <c r="W571" i="61"/>
  <c r="W480" i="61"/>
  <c r="W202" i="61"/>
  <c r="W264" i="61"/>
  <c r="W91" i="61"/>
  <c r="W278" i="61"/>
  <c r="W31" i="61"/>
  <c r="W51" i="61"/>
  <c r="W138" i="61"/>
  <c r="W246" i="61"/>
  <c r="W497" i="61"/>
  <c r="W148" i="61"/>
  <c r="W139" i="61"/>
  <c r="W416" i="61"/>
  <c r="W222" i="61"/>
  <c r="W146" i="61"/>
  <c r="W436" i="61"/>
  <c r="W469" i="61"/>
  <c r="W80" i="61"/>
  <c r="W401" i="61"/>
  <c r="W543" i="61"/>
  <c r="W678" i="61"/>
  <c r="W351" i="61"/>
  <c r="W238" i="61"/>
  <c r="W294" i="61"/>
  <c r="W215" i="61"/>
  <c r="W577" i="61"/>
  <c r="W563" i="61"/>
  <c r="W259" i="61"/>
  <c r="W709" i="61"/>
  <c r="W343" i="61"/>
  <c r="W340" i="61"/>
  <c r="W93" i="61"/>
  <c r="W559" i="61"/>
  <c r="W546" i="61"/>
  <c r="W265" i="61"/>
  <c r="W411" i="61"/>
  <c r="W272" i="61"/>
  <c r="W679" i="61"/>
  <c r="W694" i="61"/>
  <c r="W239" i="61"/>
  <c r="W470" i="61"/>
  <c r="W595" i="61"/>
  <c r="W342" i="61"/>
  <c r="W419" i="61"/>
  <c r="W610" i="61"/>
  <c r="W499" i="61"/>
  <c r="W555" i="61"/>
  <c r="W107" i="61"/>
  <c r="W59" i="61"/>
  <c r="W686" i="61"/>
  <c r="W387" i="61"/>
  <c r="W49" i="61"/>
  <c r="W13" i="61"/>
  <c r="W120" i="61"/>
  <c r="W363" i="61"/>
  <c r="W319" i="61"/>
  <c r="W244" i="61"/>
  <c r="W689" i="61"/>
  <c r="W542" i="61"/>
  <c r="W329" i="61"/>
  <c r="W254" i="61"/>
  <c r="W213" i="61"/>
  <c r="W137" i="61"/>
  <c r="W396" i="61"/>
  <c r="W103" i="61"/>
  <c r="W251" i="61"/>
  <c r="W406" i="61"/>
  <c r="W367" i="61"/>
  <c r="W44" i="61"/>
  <c r="W164" i="61"/>
  <c r="W178" i="61"/>
  <c r="W110" i="61"/>
  <c r="W270" i="61"/>
  <c r="W515" i="61"/>
  <c r="W325" i="61"/>
  <c r="W654" i="61"/>
  <c r="W311" i="61"/>
  <c r="W369" i="61"/>
  <c r="W379" i="61"/>
  <c r="W125" i="61"/>
  <c r="W468" i="61"/>
  <c r="W258" i="61"/>
  <c r="W605" i="61"/>
  <c r="W65" i="61"/>
  <c r="W346" i="61"/>
  <c r="W500" i="61"/>
  <c r="W398" i="61"/>
  <c r="W415" i="61"/>
  <c r="W519" i="61"/>
  <c r="W322" i="61"/>
  <c r="W576" i="61"/>
  <c r="W524" i="61"/>
  <c r="W312" i="61"/>
  <c r="W405" i="61"/>
  <c r="W159" i="61"/>
  <c r="W285" i="61"/>
  <c r="W145" i="61"/>
  <c r="W140" i="61"/>
  <c r="W331" i="61"/>
  <c r="W525" i="61"/>
  <c r="W194" i="61"/>
  <c r="W197" i="61"/>
  <c r="W166" i="61"/>
  <c r="W356" i="61"/>
  <c r="W496" i="61"/>
  <c r="W615" i="61"/>
  <c r="W682" i="61"/>
  <c r="W300" i="61"/>
  <c r="W279" i="61"/>
  <c r="W433" i="61"/>
  <c r="W551" i="61"/>
  <c r="W462" i="61"/>
  <c r="W21" i="61"/>
  <c r="W52" i="61"/>
  <c r="W69" i="61"/>
  <c r="W593" i="61"/>
  <c r="W61" i="61"/>
  <c r="W463" i="61"/>
  <c r="W17" i="61"/>
  <c r="W627" i="61"/>
  <c r="W437" i="61"/>
  <c r="W409" i="61"/>
  <c r="W347" i="61"/>
  <c r="W450" i="61"/>
  <c r="W410" i="61"/>
  <c r="W426" i="61"/>
  <c r="W475" i="61"/>
  <c r="W614" i="61"/>
  <c r="W402" i="61"/>
  <c r="W54" i="61"/>
  <c r="W152" i="61"/>
  <c r="W43" i="61"/>
  <c r="W338" i="61"/>
  <c r="W634" i="61"/>
  <c r="W607" i="61"/>
  <c r="W162" i="61"/>
  <c r="W362" i="61"/>
  <c r="W420" i="61"/>
  <c r="W626" i="61"/>
  <c r="W510" i="61"/>
  <c r="W601" i="61"/>
  <c r="W381" i="61"/>
  <c r="W293" i="61"/>
  <c r="W438" i="61"/>
  <c r="W549" i="61"/>
  <c r="W155" i="61"/>
  <c r="W19" i="61"/>
  <c r="W501" i="61"/>
  <c r="W114" i="61"/>
  <c r="W16" i="61"/>
  <c r="W27" i="61"/>
  <c r="W713" i="61"/>
  <c r="W134" i="61"/>
  <c r="W372" i="61"/>
  <c r="W84" i="61"/>
  <c r="W235" i="61"/>
  <c r="W459" i="61"/>
  <c r="W532" i="61"/>
  <c r="W485" i="61"/>
  <c r="W337" i="61"/>
  <c r="W169" i="61"/>
  <c r="W503" i="61"/>
  <c r="W521" i="61"/>
  <c r="W163" i="61"/>
  <c r="W176" i="61"/>
  <c r="W493" i="61"/>
  <c r="W531" i="61"/>
  <c r="W72" i="61"/>
  <c r="W96" i="61"/>
  <c r="W527" i="61"/>
  <c r="W199" i="61"/>
  <c r="W490" i="61"/>
  <c r="W28" i="61"/>
  <c r="W702" i="61"/>
  <c r="W277" i="61"/>
  <c r="W200" i="61"/>
  <c r="W388" i="61"/>
  <c r="W56" i="61"/>
  <c r="W232" i="61"/>
  <c r="W262" i="61"/>
  <c r="W370" i="61"/>
  <c r="W231" i="61"/>
  <c r="W136" i="61"/>
  <c r="W588" i="61"/>
  <c r="W77" i="61"/>
  <c r="W241" i="61"/>
  <c r="W538" i="61"/>
  <c r="W256" i="61"/>
  <c r="W32" i="61"/>
  <c r="W327" i="61"/>
  <c r="W502" i="61"/>
  <c r="W582" i="61"/>
  <c r="W116" i="61"/>
  <c r="W115" i="61"/>
  <c r="W90" i="61"/>
  <c r="W55" i="61"/>
  <c r="W518" i="61"/>
  <c r="W309" i="61"/>
  <c r="W455" i="61"/>
  <c r="W252" i="61"/>
  <c r="W249" i="61"/>
  <c r="W350" i="61"/>
  <c r="W177" i="61"/>
  <c r="W108" i="61"/>
  <c r="W74" i="61"/>
  <c r="W193" i="61"/>
  <c r="W715" i="61"/>
  <c r="W647" i="61"/>
  <c r="W539" i="61"/>
  <c r="W149" i="61"/>
  <c r="W170" i="61"/>
  <c r="W513" i="61"/>
  <c r="W160" i="61"/>
  <c r="W71" i="61"/>
  <c r="W130" i="61"/>
  <c r="W541" i="61"/>
  <c r="W404" i="61"/>
  <c r="W473" i="61"/>
  <c r="W358" i="61"/>
  <c r="W35" i="61"/>
  <c r="W653" i="61"/>
  <c r="W79" i="61"/>
  <c r="W106" i="61"/>
  <c r="W255" i="61"/>
  <c r="W677" i="61"/>
  <c r="W76" i="61"/>
  <c r="W158" i="61"/>
  <c r="W257" i="61"/>
  <c r="W646" i="61"/>
  <c r="W227" i="61"/>
  <c r="W570" i="61"/>
  <c r="W274" i="61"/>
  <c r="W228" i="61"/>
  <c r="W717" i="61"/>
  <c r="W575" i="61"/>
  <c r="W306" i="61"/>
  <c r="W335" i="61"/>
  <c r="W445" i="61"/>
  <c r="W394" i="61"/>
  <c r="W216" i="61"/>
  <c r="W534" i="61"/>
  <c r="W112" i="61"/>
  <c r="W453" i="61"/>
  <c r="W452" i="61"/>
  <c r="W36" i="61"/>
  <c r="W233" i="61"/>
  <c r="W323" i="61"/>
  <c r="W487" i="61"/>
  <c r="W104" i="61"/>
  <c r="W523" i="61"/>
  <c r="W368" i="61"/>
  <c r="W393" i="61"/>
  <c r="W20" i="61"/>
  <c r="W273" i="61"/>
  <c r="W303" i="61"/>
  <c r="W123" i="61"/>
  <c r="W243" i="61"/>
  <c r="W566" i="61"/>
  <c r="W670" i="61"/>
  <c r="W345" i="61"/>
  <c r="W359" i="61"/>
  <c r="W430" i="61"/>
  <c r="W414" i="61"/>
  <c r="W399" i="61"/>
  <c r="W105" i="61"/>
  <c r="W699" i="61"/>
  <c r="W167" i="61"/>
  <c r="W307" i="61"/>
  <c r="W557" i="61"/>
  <c r="W526" i="61"/>
  <c r="W471" i="61"/>
  <c r="W237" i="61"/>
  <c r="W671" i="61"/>
  <c r="W451" i="61"/>
  <c r="W516" i="61"/>
  <c r="W612" i="61"/>
  <c r="W41" i="61"/>
  <c r="W631" i="61"/>
  <c r="W223" i="61"/>
  <c r="W622" i="61"/>
  <c r="W296" i="61"/>
  <c r="W66" i="61"/>
  <c r="W111" i="61"/>
  <c r="W380" i="61"/>
  <c r="W650" i="61"/>
  <c r="W529" i="61"/>
  <c r="W126" i="61"/>
  <c r="W157" i="61"/>
  <c r="W87" i="61"/>
  <c r="W464" i="61"/>
  <c r="W574" i="61"/>
  <c r="W208" i="61"/>
  <c r="W675" i="61"/>
  <c r="W82" i="61"/>
  <c r="W150" i="61"/>
  <c r="W545" i="61"/>
  <c r="W638" i="61"/>
  <c r="W135" i="61"/>
  <c r="W392" i="61"/>
  <c r="W676" i="61"/>
  <c r="W483" i="61"/>
  <c r="W378" i="61"/>
  <c r="W360" i="61"/>
  <c r="W716" i="61"/>
  <c r="W219" i="61"/>
  <c r="W504" i="61"/>
  <c r="W377" i="61"/>
  <c r="W705" i="61"/>
  <c r="W701" i="61"/>
  <c r="W640" i="61"/>
  <c r="W495" i="61"/>
  <c r="W568" i="61"/>
  <c r="W587" i="61"/>
  <c r="W304" i="61"/>
  <c r="W608" i="61"/>
  <c r="W552" i="61"/>
  <c r="W565" i="61"/>
  <c r="W585" i="61"/>
  <c r="W440" i="61"/>
  <c r="W98" i="61"/>
  <c r="W48" i="61"/>
  <c r="W89" i="61"/>
  <c r="W472" i="61"/>
  <c r="W535" i="61"/>
  <c r="W656" i="61"/>
  <c r="W209" i="61"/>
  <c r="W664" i="61"/>
  <c r="W156" i="61"/>
  <c r="W344" i="61"/>
  <c r="W326" i="61"/>
  <c r="W245" i="61"/>
  <c r="W407" i="61"/>
  <c r="W132" i="61"/>
  <c r="W696" i="61"/>
  <c r="W680" i="61"/>
  <c r="W477" i="61"/>
  <c r="W636" i="61"/>
  <c r="W448" i="61"/>
  <c r="W644" i="61"/>
  <c r="W553" i="61"/>
  <c r="W271" i="61"/>
  <c r="W357" i="61"/>
  <c r="W704" i="61"/>
  <c r="W672" i="61"/>
  <c r="W428" i="61"/>
  <c r="W628" i="61"/>
  <c r="W611" i="61"/>
  <c r="W660" i="61"/>
  <c r="W561" i="61"/>
  <c r="W427" i="61"/>
  <c r="W712" i="61"/>
  <c r="W562" i="61"/>
  <c r="W386" i="61"/>
  <c r="W355" i="61"/>
  <c r="W339" i="61"/>
  <c r="W648" i="61"/>
  <c r="W67" i="61"/>
  <c r="W118" i="61"/>
  <c r="W693" i="61"/>
  <c r="W688" i="61"/>
  <c r="W508" i="61"/>
  <c r="W291" i="61"/>
  <c r="W488" i="61"/>
  <c r="W153" i="61"/>
  <c r="W133" i="61"/>
  <c r="W620" i="61"/>
  <c r="W632" i="61"/>
  <c r="W460" i="61"/>
  <c r="W668" i="61"/>
  <c r="W616" i="61"/>
  <c r="W302" i="61"/>
  <c r="W15" i="61"/>
  <c r="W692" i="61"/>
  <c r="W652" i="61"/>
  <c r="W236" i="61"/>
  <c r="W684" i="61"/>
  <c r="W46" i="61"/>
  <c r="W700" i="61"/>
  <c r="W424" i="61"/>
  <c r="W456" i="61"/>
  <c r="W624" i="61"/>
  <c r="W606" i="61"/>
  <c r="W690" i="61"/>
  <c r="W217" i="61"/>
  <c r="W598" i="61"/>
  <c r="W708" i="61"/>
  <c r="W184" i="61"/>
  <c r="W189" i="61"/>
  <c r="W25" i="61"/>
  <c r="W400" i="61"/>
  <c r="W600" i="61"/>
  <c r="W408" i="61"/>
  <c r="W281" i="61"/>
  <c r="W218" i="61"/>
  <c r="W494" i="61"/>
  <c r="W657" i="61"/>
  <c r="W536" i="61"/>
  <c r="W584" i="61"/>
  <c r="W73" i="61"/>
  <c r="W718" i="61"/>
  <c r="W376" i="61"/>
  <c r="Q73" i="61"/>
  <c r="Q452" i="61"/>
  <c r="Q465" i="61"/>
  <c r="Q70" i="61"/>
  <c r="Q152" i="61"/>
  <c r="Q686" i="61"/>
  <c r="Q229" i="61"/>
  <c r="Q186" i="61"/>
  <c r="Q95" i="61"/>
  <c r="Q160" i="61"/>
  <c r="Q58" i="61"/>
  <c r="Q642" i="61"/>
  <c r="Q270" i="61"/>
  <c r="Q380" i="61"/>
  <c r="Q462" i="61"/>
  <c r="Q304" i="61"/>
  <c r="Q710" i="61"/>
  <c r="Q482" i="61"/>
  <c r="Q361" i="61"/>
  <c r="Q327" i="61"/>
  <c r="Q135" i="61"/>
  <c r="Q586" i="61"/>
  <c r="Q639" i="61"/>
  <c r="Q352" i="61"/>
  <c r="Q65" i="61"/>
  <c r="Q38" i="61"/>
  <c r="Q671" i="61"/>
  <c r="Q501" i="61"/>
  <c r="Q564" i="61"/>
  <c r="Q107" i="61"/>
  <c r="Q634" i="61"/>
  <c r="Q98" i="61"/>
  <c r="Q503" i="61"/>
  <c r="Q711" i="61"/>
  <c r="Q200" i="61"/>
  <c r="Q348" i="61"/>
  <c r="Q589" i="61"/>
  <c r="Q423" i="61"/>
  <c r="Q138" i="61"/>
  <c r="Q570" i="61"/>
  <c r="Q211" i="61"/>
  <c r="Q55" i="61"/>
  <c r="Q608" i="61"/>
  <c r="Q101" i="61"/>
  <c r="Q397" i="61"/>
  <c r="Q340" i="61"/>
  <c r="Q419" i="61"/>
  <c r="Q384" i="61"/>
  <c r="Q314" i="61"/>
  <c r="Q142" i="61"/>
  <c r="Q630" i="61"/>
  <c r="Q226" i="61"/>
  <c r="Q454" i="61"/>
  <c r="Q118" i="61"/>
  <c r="Q617" i="61"/>
  <c r="Q50" i="61"/>
  <c r="Q480" i="61"/>
  <c r="Q150" i="61"/>
  <c r="Q181" i="61"/>
  <c r="Q378" i="61"/>
  <c r="Q31" i="61"/>
  <c r="Q218" i="61"/>
  <c r="Q277" i="61"/>
  <c r="Q248" i="61"/>
  <c r="Q247" i="61"/>
  <c r="Q125" i="61"/>
  <c r="Q66" i="61"/>
  <c r="Q495" i="61"/>
  <c r="Q619" i="61"/>
  <c r="Q597" i="61"/>
  <c r="Q404" i="61"/>
  <c r="Q492" i="61"/>
  <c r="Q483" i="61"/>
  <c r="Q42" i="61"/>
  <c r="Q426" i="61"/>
  <c r="Q625" i="61"/>
  <c r="Q435" i="61"/>
  <c r="Q689" i="61"/>
  <c r="Q359" i="61"/>
  <c r="Q574" i="61"/>
  <c r="Q85" i="61"/>
  <c r="Q651" i="61"/>
  <c r="Q240" i="61"/>
  <c r="Q716" i="61"/>
  <c r="Q180" i="61"/>
  <c r="Q201" i="61"/>
  <c r="Q415" i="61"/>
  <c r="Q468" i="61"/>
  <c r="Q228" i="61"/>
  <c r="Q399" i="61"/>
  <c r="Q214" i="61"/>
  <c r="Q684" i="61"/>
  <c r="Q56" i="61"/>
  <c r="Q28" i="61"/>
  <c r="Q661" i="61"/>
  <c r="Q134" i="61"/>
  <c r="Q474" i="61"/>
  <c r="Q487" i="61"/>
  <c r="Q188" i="61"/>
  <c r="Q239" i="61"/>
  <c r="Q437" i="61"/>
  <c r="Q678" i="61"/>
  <c r="Q718" i="61"/>
  <c r="Q318" i="61"/>
  <c r="Q388" i="61"/>
  <c r="Q262" i="61"/>
  <c r="Q172" i="61"/>
  <c r="Q656" i="61"/>
  <c r="Q255" i="61"/>
  <c r="Q51" i="61"/>
  <c r="Q183" i="61"/>
  <c r="Q659" i="61"/>
  <c r="Q355" i="61"/>
  <c r="Q555" i="61"/>
  <c r="Q382" i="61"/>
  <c r="Q585" i="61"/>
  <c r="Q137" i="61"/>
  <c r="Q386" i="61"/>
  <c r="Q182" i="61"/>
  <c r="Q335" i="61"/>
  <c r="Q666" i="61"/>
  <c r="Q427" i="61"/>
  <c r="Q236" i="61"/>
  <c r="Q401" i="61"/>
  <c r="Q563" i="61"/>
  <c r="Q119" i="61"/>
  <c r="Q458" i="61"/>
  <c r="Q413" i="61"/>
  <c r="Q288" i="61"/>
  <c r="Q627" i="61"/>
  <c r="Q156" i="61"/>
  <c r="Q498" i="61"/>
  <c r="Q364" i="61"/>
  <c r="Q90" i="61"/>
  <c r="Q297" i="61"/>
  <c r="Q272" i="61"/>
  <c r="Q299" i="61"/>
  <c r="Q385" i="61"/>
  <c r="Q499" i="61"/>
  <c r="Q213" i="61"/>
  <c r="Q245" i="61"/>
  <c r="Q692" i="61"/>
  <c r="Q550" i="61"/>
  <c r="Q287" i="61"/>
  <c r="Q194" i="61"/>
  <c r="Q47" i="61"/>
  <c r="Q581" i="61"/>
  <c r="Q476" i="61"/>
  <c r="Q572" i="61"/>
  <c r="Q687" i="61"/>
  <c r="Q33" i="61"/>
  <c r="Q705" i="61"/>
  <c r="Q124" i="61"/>
  <c r="Q295" i="61"/>
  <c r="Q62" i="61"/>
  <c r="Q552" i="61"/>
  <c r="Q258" i="61"/>
  <c r="Q533" i="61"/>
  <c r="Q104" i="61"/>
  <c r="Q184" i="61"/>
  <c r="Q221" i="61"/>
  <c r="Q543" i="61"/>
  <c r="Q54" i="61"/>
  <c r="Q569" i="61"/>
  <c r="Q615" i="61"/>
  <c r="Q592" i="61"/>
  <c r="Q323" i="61"/>
  <c r="Q562" i="61"/>
  <c r="Q96" i="61"/>
  <c r="Q105" i="61"/>
  <c r="Q497" i="61"/>
  <c r="Q266" i="61"/>
  <c r="Q439" i="61"/>
  <c r="Q648" i="61"/>
  <c r="Q614" i="61"/>
  <c r="Q440" i="61"/>
  <c r="Q528" i="61"/>
  <c r="Q321" i="61"/>
  <c r="Q67" i="61"/>
  <c r="Q202" i="61"/>
  <c r="Q285" i="61"/>
  <c r="Q443" i="61"/>
  <c r="Q653" i="61"/>
  <c r="Q185" i="61"/>
  <c r="Q524" i="61"/>
  <c r="Q618" i="61"/>
  <c r="Q136" i="61"/>
  <c r="Q246" i="61"/>
  <c r="Q674" i="61"/>
  <c r="Q206" i="61"/>
  <c r="Q217" i="61"/>
  <c r="Q269" i="61"/>
  <c r="Q694" i="61"/>
  <c r="Q580" i="61"/>
  <c r="Q76" i="61"/>
  <c r="Q127" i="61"/>
  <c r="Q565" i="61"/>
  <c r="Q707" i="61"/>
  <c r="Q400" i="61"/>
  <c r="Q598" i="61"/>
  <c r="Q163" i="61"/>
  <c r="Q428" i="61"/>
  <c r="Q326" i="61"/>
  <c r="Q631" i="61"/>
  <c r="Q315" i="61"/>
  <c r="Q241" i="61"/>
  <c r="Q577" i="61"/>
  <c r="Q52" i="61"/>
  <c r="Q544" i="61"/>
  <c r="Q658" i="61"/>
  <c r="Q32" i="61"/>
  <c r="Q587" i="61"/>
  <c r="Q471" i="61"/>
  <c r="Q372" i="61"/>
  <c r="Q448" i="61"/>
  <c r="Q407" i="61"/>
  <c r="Q220" i="61"/>
  <c r="Q358" i="61"/>
  <c r="Q207" i="61"/>
  <c r="Q215" i="61"/>
  <c r="Q111" i="61"/>
  <c r="Q300" i="61"/>
  <c r="Q609" i="61"/>
  <c r="Q92" i="61"/>
  <c r="Q313" i="61"/>
  <c r="Q479" i="61"/>
  <c r="Q75" i="61"/>
  <c r="Q115" i="61"/>
  <c r="Q606" i="61"/>
  <c r="Q79" i="61"/>
  <c r="Q660" i="61"/>
  <c r="Q94" i="61"/>
  <c r="Q673" i="61"/>
  <c r="Q84" i="61"/>
  <c r="Q170" i="61"/>
  <c r="Q189" i="61"/>
  <c r="Q279" i="61"/>
  <c r="Q100" i="61"/>
  <c r="Q116" i="61"/>
  <c r="Q669" i="61"/>
  <c r="Q110" i="61"/>
  <c r="Q78" i="61"/>
  <c r="Q60" i="61"/>
  <c r="Q433" i="61"/>
  <c r="Q626" i="61"/>
  <c r="Q451" i="61"/>
  <c r="Q317" i="61"/>
  <c r="Q493" i="61"/>
  <c r="Q703" i="61"/>
  <c r="Q603" i="61"/>
  <c r="Q344" i="61"/>
  <c r="Q337" i="61"/>
  <c r="Q444" i="61"/>
  <c r="Q357" i="61"/>
  <c r="Q283" i="61"/>
  <c r="Q86" i="61"/>
  <c r="Q381" i="61"/>
  <c r="Q578" i="61"/>
  <c r="Q646" i="61"/>
  <c r="Q505" i="61"/>
  <c r="Q607" i="61"/>
  <c r="Q571" i="61"/>
  <c r="Q395" i="61"/>
  <c r="Q208" i="61"/>
  <c r="Q195" i="61"/>
  <c r="Q330" i="61"/>
  <c r="Q252" i="61"/>
  <c r="Q126" i="61"/>
  <c r="Q391" i="61"/>
  <c r="Q341" i="61"/>
  <c r="Q567" i="61"/>
  <c r="Q145" i="61"/>
  <c r="Q599" i="61"/>
  <c r="Q699" i="61"/>
  <c r="Q256" i="61"/>
  <c r="Q93" i="61"/>
  <c r="Q45" i="61"/>
  <c r="Q541" i="61"/>
  <c r="Q175" i="61"/>
  <c r="Q594" i="61"/>
  <c r="Q155" i="61"/>
  <c r="Q253" i="61"/>
  <c r="Q459" i="61"/>
  <c r="Q265" i="61"/>
  <c r="Q121" i="61"/>
  <c r="Q628" i="61"/>
  <c r="Q338" i="61"/>
  <c r="Q57" i="61"/>
  <c r="Q657" i="61"/>
  <c r="Q80" i="61"/>
  <c r="Q197" i="61"/>
  <c r="Q263" i="61"/>
  <c r="Q662" i="61"/>
  <c r="Q540" i="61"/>
  <c r="Q114" i="61"/>
  <c r="Q167" i="61"/>
  <c r="Q49" i="61"/>
  <c r="Q324" i="61"/>
  <c r="Q436" i="61"/>
  <c r="Q112" i="61"/>
  <c r="Q406" i="61"/>
  <c r="Q522" i="61"/>
  <c r="Q168" i="61"/>
  <c r="Q635" i="61"/>
  <c r="Q370" i="61"/>
  <c r="Q193" i="61"/>
  <c r="Q232" i="61"/>
  <c r="Q431" i="61"/>
  <c r="Q676" i="61"/>
  <c r="Q29" i="61"/>
  <c r="Q429" i="61"/>
  <c r="Q663" i="61"/>
  <c r="Q549" i="61"/>
  <c r="Q512" i="61"/>
  <c r="Q554" i="61"/>
  <c r="Q525" i="61"/>
  <c r="Q97" i="61"/>
  <c r="Q675" i="61"/>
  <c r="Q203" i="61"/>
  <c r="Q612" i="61"/>
  <c r="Q712" i="61"/>
  <c r="Q173" i="61"/>
  <c r="Q311" i="61"/>
  <c r="Q129" i="61"/>
  <c r="Q222" i="61"/>
  <c r="Q566" i="61"/>
  <c r="Q140" i="61"/>
  <c r="Q298" i="61"/>
  <c r="Q411" i="61"/>
  <c r="Q575" i="61"/>
  <c r="Q442" i="61"/>
  <c r="Q178" i="61"/>
  <c r="Q227" i="61"/>
  <c r="Q708" i="61"/>
  <c r="Q88" i="61"/>
  <c r="Q405" i="61"/>
  <c r="Q638" i="61"/>
  <c r="Q166" i="61"/>
  <c r="Q102" i="61"/>
  <c r="Q296" i="61"/>
  <c r="Q191" i="61"/>
  <c r="Q310" i="61"/>
  <c r="Q165" i="61"/>
  <c r="Q556" i="61"/>
  <c r="Q171" i="61"/>
  <c r="Q576" i="61"/>
  <c r="Q144" i="61"/>
  <c r="Q511" i="61"/>
  <c r="Q547" i="61"/>
  <c r="Q48" i="61"/>
  <c r="Q389" i="61"/>
  <c r="Q507" i="61"/>
  <c r="Q192" i="61"/>
  <c r="Q596" i="61"/>
  <c r="Q526" i="61"/>
  <c r="Q243" i="61"/>
  <c r="Q412" i="61"/>
  <c r="Q475" i="61"/>
  <c r="Q640" i="61"/>
  <c r="Q665" i="61"/>
  <c r="Q99" i="61"/>
  <c r="Q616" i="61"/>
  <c r="Q305" i="61"/>
  <c r="Q347" i="61"/>
  <c r="Q230" i="61"/>
  <c r="Q600" i="61"/>
  <c r="Q693" i="61"/>
  <c r="Q481" i="61"/>
  <c r="Q551" i="61"/>
  <c r="Q531" i="61"/>
  <c r="Q494" i="61"/>
  <c r="Q643" i="61"/>
  <c r="Q334" i="61"/>
  <c r="Q438" i="61"/>
  <c r="Q591" i="61"/>
  <c r="Q463" i="61"/>
  <c r="Q264" i="61"/>
  <c r="Q153" i="61"/>
  <c r="Q44" i="61"/>
  <c r="Q362" i="61"/>
  <c r="Q46" i="61"/>
  <c r="Q303" i="61"/>
  <c r="Q237" i="61"/>
  <c r="Q69" i="61"/>
  <c r="Q519" i="61"/>
  <c r="Q374" i="61"/>
  <c r="Q59" i="61"/>
  <c r="Q398" i="61"/>
  <c r="Q422" i="61"/>
  <c r="Q268" i="61"/>
  <c r="Q143" i="61"/>
  <c r="Q513" i="61"/>
  <c r="Q320" i="61"/>
  <c r="Q390" i="61"/>
  <c r="Q139" i="61"/>
  <c r="Q396" i="61"/>
  <c r="Q322" i="61"/>
  <c r="Q319" i="61"/>
  <c r="Q103" i="61"/>
  <c r="Q387" i="61"/>
  <c r="Q496" i="61"/>
  <c r="Q251" i="61"/>
  <c r="Q177" i="61"/>
  <c r="Q449" i="61"/>
  <c r="Q508" i="61"/>
  <c r="Q516" i="61"/>
  <c r="Q108" i="61"/>
  <c r="Q536" i="61"/>
  <c r="Q545" i="61"/>
  <c r="Q351" i="61"/>
  <c r="Q539" i="61"/>
  <c r="Q109" i="61"/>
  <c r="Q611" i="61"/>
  <c r="Q559" i="61"/>
  <c r="Q672" i="61"/>
  <c r="Q294" i="61"/>
  <c r="Q346" i="61"/>
  <c r="Q306" i="61"/>
  <c r="Q713" i="61"/>
  <c r="Q453" i="61"/>
  <c r="Q561" i="61"/>
  <c r="Q690" i="61"/>
  <c r="Q632" i="61"/>
  <c r="Q113" i="61"/>
  <c r="Q645" i="61"/>
  <c r="Q466" i="61"/>
  <c r="Q345" i="61"/>
  <c r="Q162" i="61"/>
  <c r="Q681" i="61"/>
  <c r="Q196" i="61"/>
  <c r="Q280" i="61"/>
  <c r="Q89" i="61"/>
  <c r="Q717" i="61"/>
  <c r="Q379" i="61"/>
  <c r="Q709" i="61"/>
  <c r="Q91" i="61"/>
  <c r="Q356" i="61"/>
  <c r="Q309" i="61"/>
  <c r="Q553" i="61"/>
  <c r="Q302" i="61"/>
  <c r="Q242" i="61"/>
  <c r="Q502" i="61"/>
  <c r="Q523" i="61"/>
  <c r="Q621" i="61"/>
  <c r="Q521" i="61"/>
  <c r="Q613" i="61"/>
  <c r="Q72" i="61"/>
  <c r="Q691" i="61"/>
  <c r="Q290" i="61"/>
  <c r="Q198" i="61"/>
  <c r="Q647" i="61"/>
  <c r="Q702" i="61"/>
  <c r="Q602" i="61"/>
  <c r="Q219" i="61"/>
  <c r="Q450" i="61"/>
  <c r="Q350" i="61"/>
  <c r="Q331" i="61"/>
  <c r="Q595" i="61"/>
  <c r="Q488" i="61"/>
  <c r="Q704" i="61"/>
  <c r="Q667" i="61"/>
  <c r="Q284" i="61"/>
  <c r="Q271" i="61"/>
  <c r="Q644" i="61"/>
  <c r="Q584" i="61"/>
  <c r="Q604" i="61"/>
  <c r="Q276" i="61"/>
  <c r="Q403" i="61"/>
  <c r="Q530" i="61"/>
  <c r="Q71" i="61"/>
  <c r="Q39" i="61"/>
  <c r="Q460" i="61"/>
  <c r="Q620" i="61"/>
  <c r="Q77" i="61"/>
  <c r="Q210" i="61"/>
  <c r="Q159" i="61"/>
  <c r="Q209" i="61"/>
  <c r="Q174" i="61"/>
  <c r="Q307" i="61"/>
  <c r="Q367" i="61"/>
  <c r="Q292" i="61"/>
  <c r="Q275" i="61"/>
  <c r="Q636" i="61"/>
  <c r="Q695" i="61"/>
  <c r="Q43" i="61"/>
  <c r="Q316" i="61"/>
  <c r="Q485" i="61"/>
  <c r="Q117" i="61"/>
  <c r="Q588" i="61"/>
  <c r="Q473" i="61"/>
  <c r="Q205" i="61"/>
  <c r="Q491" i="61"/>
  <c r="Q605" i="61"/>
  <c r="Q282" i="61"/>
  <c r="Q169" i="61"/>
  <c r="Q40" i="61"/>
  <c r="Q308" i="61"/>
  <c r="Q291" i="61"/>
  <c r="Q259" i="61"/>
  <c r="Q424" i="61"/>
  <c r="Q190" i="61"/>
  <c r="Q368" i="61"/>
  <c r="Q470" i="61"/>
  <c r="Q257" i="61"/>
  <c r="Q683" i="61"/>
  <c r="Q467" i="61"/>
  <c r="Q654" i="61"/>
  <c r="Q417" i="61"/>
  <c r="Q133" i="61"/>
  <c r="Q61" i="61"/>
  <c r="Q354" i="61"/>
  <c r="Q538" i="61"/>
  <c r="Q74" i="61"/>
  <c r="Q149" i="61"/>
  <c r="Q688" i="61"/>
  <c r="Q267" i="61"/>
  <c r="Q622" i="61"/>
  <c r="Q682" i="61"/>
  <c r="Q700" i="61"/>
  <c r="Q441" i="61"/>
  <c r="Q420" i="61"/>
  <c r="Q446" i="61"/>
  <c r="Q532" i="61"/>
  <c r="Q670" i="61"/>
  <c r="Q534" i="61"/>
  <c r="Q249" i="61"/>
  <c r="Q273" i="61"/>
  <c r="Q579" i="61"/>
  <c r="Q154" i="61"/>
  <c r="Q366" i="61"/>
  <c r="Q225" i="61"/>
  <c r="Q680" i="61"/>
  <c r="Q199" i="61"/>
  <c r="Q151" i="61"/>
  <c r="Q535" i="61"/>
  <c r="Q365" i="61"/>
  <c r="Q123" i="61"/>
  <c r="Q122" i="61"/>
  <c r="Q353" i="61"/>
  <c r="Q286" i="61"/>
  <c r="Q557" i="61"/>
  <c r="Q289" i="61"/>
  <c r="Q679" i="61"/>
  <c r="Q633" i="61"/>
  <c r="Q558" i="61"/>
  <c r="Q34" i="61"/>
  <c r="Q477" i="61"/>
  <c r="Q432" i="61"/>
  <c r="Q649" i="61"/>
  <c r="Q582" i="61"/>
  <c r="Q120" i="61"/>
  <c r="Q164" i="61"/>
  <c r="Q394" i="61"/>
  <c r="Q392" i="61"/>
  <c r="Q141" i="61"/>
  <c r="Q652" i="61"/>
  <c r="Q455" i="61"/>
  <c r="Q425" i="61"/>
  <c r="Q489" i="61"/>
  <c r="Q274" i="61"/>
  <c r="Q146" i="61"/>
  <c r="Q685" i="61"/>
  <c r="Q464" i="61"/>
  <c r="Q546" i="61"/>
  <c r="Q325" i="61"/>
  <c r="Q408" i="61"/>
  <c r="Q343" i="61"/>
  <c r="Q655" i="61"/>
  <c r="Q35" i="61"/>
  <c r="Q469" i="61"/>
  <c r="Q204" i="61"/>
  <c r="Q106" i="61"/>
  <c r="Q278" i="61"/>
  <c r="Q529" i="61"/>
  <c r="Q568" i="61"/>
  <c r="Q697" i="61"/>
  <c r="Q293" i="61"/>
  <c r="Q187" i="61"/>
  <c r="Q234" i="61"/>
  <c r="Q339" i="61"/>
  <c r="Q478" i="61"/>
  <c r="Q53" i="61"/>
  <c r="Q360" i="61"/>
  <c r="Q83" i="61"/>
  <c r="Q715" i="61"/>
  <c r="Q131" i="61"/>
  <c r="Q510" i="61"/>
  <c r="Q63" i="61"/>
  <c r="Q714" i="61"/>
  <c r="Q461" i="61"/>
  <c r="Q87" i="61"/>
  <c r="Q216" i="61"/>
  <c r="Q641" i="61"/>
  <c r="Q418" i="61"/>
  <c r="Q369" i="61"/>
  <c r="Q332" i="61"/>
  <c r="Q250" i="61"/>
  <c r="Q601" i="61"/>
  <c r="Q484" i="61"/>
  <c r="Q81" i="61"/>
  <c r="Q37" i="61"/>
  <c r="Q500" i="61"/>
  <c r="Q590" i="61"/>
  <c r="Q414" i="61"/>
  <c r="Q410" i="61"/>
  <c r="Q698" i="61"/>
  <c r="Q593" i="61"/>
  <c r="Q312" i="61"/>
  <c r="Q664" i="61"/>
  <c r="Q363" i="61"/>
  <c r="Q518" i="61"/>
  <c r="Q235" i="61"/>
  <c r="Q260" i="61"/>
  <c r="Q623" i="61"/>
  <c r="Q486" i="61"/>
  <c r="Q624" i="61"/>
  <c r="Q383" i="61"/>
  <c r="Q244" i="61"/>
  <c r="Q509" i="61"/>
  <c r="Q650" i="61"/>
  <c r="Q548" i="61"/>
  <c r="Q472" i="61"/>
  <c r="Q212" i="61"/>
  <c r="Q517" i="61"/>
  <c r="Q375" i="61"/>
  <c r="Q514" i="61"/>
  <c r="Q490" i="61"/>
  <c r="Q629" i="61"/>
  <c r="Q281" i="61"/>
  <c r="Q409" i="61"/>
  <c r="Q30" i="61"/>
  <c r="Q504" i="61"/>
  <c r="Q157" i="61"/>
  <c r="Q223" i="61"/>
  <c r="Q520" i="61"/>
  <c r="Q161" i="61"/>
  <c r="Q637" i="61"/>
  <c r="Q402" i="61"/>
  <c r="Q668" i="61"/>
  <c r="Q583" i="61"/>
  <c r="Q701" i="61"/>
  <c r="Q231" i="61"/>
  <c r="Q457" i="61"/>
  <c r="Q573" i="61"/>
  <c r="Q147" i="61"/>
  <c r="Q706" i="61"/>
  <c r="Q537" i="61"/>
  <c r="Q261" i="61"/>
  <c r="Q333" i="61"/>
  <c r="Q179" i="61"/>
  <c r="Q376" i="61"/>
  <c r="Q82" i="61"/>
  <c r="Q542" i="61"/>
  <c r="Q68" i="61"/>
  <c r="Q456" i="61"/>
  <c r="Q677" i="61"/>
  <c r="Q158" i="61"/>
  <c r="Q447" i="61"/>
  <c r="Q416" i="61"/>
  <c r="Q41" i="61"/>
  <c r="Q373" i="61"/>
  <c r="Q254" i="61"/>
  <c r="Q36" i="61"/>
  <c r="Q238" i="61"/>
  <c r="Q434" i="61"/>
  <c r="Q336" i="61"/>
  <c r="Q130" i="61"/>
  <c r="Q64" i="61"/>
  <c r="Q610" i="61"/>
  <c r="Q233" i="61"/>
  <c r="Q349" i="61"/>
  <c r="Q342" i="61"/>
  <c r="Q224" i="61"/>
  <c r="Q506" i="61"/>
  <c r="Q371" i="61"/>
  <c r="Q128" i="61"/>
  <c r="Q148" i="61"/>
  <c r="Q560" i="61"/>
  <c r="Q421" i="61"/>
  <c r="Q696" i="61"/>
  <c r="Q301" i="61"/>
  <c r="Q445" i="61"/>
  <c r="Q430" i="61"/>
  <c r="Q393" i="61"/>
  <c r="Q329" i="61"/>
  <c r="Q377" i="61"/>
  <c r="Q515" i="61"/>
  <c r="Q176" i="61"/>
  <c r="Q527" i="61"/>
  <c r="Q132" i="61"/>
  <c r="Q328" i="61"/>
  <c r="N54" i="62" l="1"/>
  <c r="F35" i="33"/>
  <c r="N32" i="62" s="1"/>
  <c r="N48" i="62"/>
  <c r="F18" i="33"/>
  <c r="N49" i="62" s="1"/>
  <c r="F14" i="33"/>
  <c r="F17" i="33"/>
  <c r="N43" i="62" s="1"/>
  <c r="N45" i="62"/>
  <c r="H35" i="33" l="1"/>
  <c r="N33" i="62" s="1"/>
  <c r="N56" i="62"/>
  <c r="F23" i="33"/>
  <c r="N39" i="62"/>
  <c r="N51" i="62" l="1"/>
  <c r="E11" i="30"/>
  <c r="H40" i="73"/>
  <c r="D11" i="74" s="1"/>
  <c r="S11" i="74" l="1"/>
  <c r="D53" i="83" s="1"/>
  <c r="D52" i="83"/>
  <c r="H50" i="73"/>
  <c r="D39" i="83" s="1"/>
  <c r="E13" i="78"/>
  <c r="H46" i="73"/>
  <c r="D37" i="83" s="1"/>
  <c r="F37" i="30"/>
  <c r="B36" i="62" s="1"/>
  <c r="J19" i="62"/>
  <c r="E15" i="30"/>
  <c r="F39" i="30" s="1"/>
  <c r="H54" i="73" l="1"/>
  <c r="E16" i="78"/>
  <c r="G16" i="78" s="1"/>
  <c r="G13" i="78"/>
  <c r="G11" i="78"/>
  <c r="N74" i="62"/>
  <c r="E16" i="30"/>
  <c r="J10" i="62"/>
  <c r="E18" i="78"/>
  <c r="C12" i="78"/>
  <c r="H56" i="73" l="1"/>
  <c r="D42" i="83" s="1"/>
  <c r="D41" i="83"/>
  <c r="H58" i="73"/>
  <c r="AH11" i="74"/>
  <c r="E19" i="30"/>
  <c r="L22" i="30"/>
  <c r="C15" i="78"/>
  <c r="F23" i="38"/>
  <c r="F15" i="54"/>
  <c r="Z121" i="62" s="1"/>
  <c r="A100" i="78"/>
  <c r="J14" i="62"/>
  <c r="E20" i="78"/>
  <c r="G18" i="78"/>
  <c r="H60" i="73" l="1"/>
  <c r="D43" i="83"/>
  <c r="D12" i="78"/>
  <c r="D54" i="83"/>
  <c r="K20" i="30"/>
  <c r="K19" i="30"/>
  <c r="J13" i="62"/>
  <c r="F32" i="30"/>
  <c r="E23" i="78"/>
  <c r="G20" i="78"/>
  <c r="C17" i="78"/>
  <c r="D15" i="78" l="1"/>
  <c r="G12" i="78"/>
  <c r="H62" i="73"/>
  <c r="D44" i="83"/>
  <c r="F33" i="30"/>
  <c r="F34" i="30" s="1"/>
  <c r="N13" i="62"/>
  <c r="C19" i="78"/>
  <c r="G23" i="78"/>
  <c r="E25" i="78"/>
  <c r="D45" i="83" l="1"/>
  <c r="H64" i="73"/>
  <c r="P64" i="73"/>
  <c r="F46" i="83" s="1"/>
  <c r="D17" i="78"/>
  <c r="G15" i="78"/>
  <c r="C22" i="78"/>
  <c r="E27" i="78"/>
  <c r="G25" i="78"/>
  <c r="N14" i="62"/>
  <c r="D19" i="78" l="1"/>
  <c r="G17" i="78"/>
  <c r="D46" i="83"/>
  <c r="H66" i="73"/>
  <c r="F24" i="38"/>
  <c r="F25" i="38" s="1"/>
  <c r="F16" i="54"/>
  <c r="N2" i="62"/>
  <c r="G27" i="78"/>
  <c r="E30" i="78"/>
  <c r="C24" i="78"/>
  <c r="H68" i="73" l="1"/>
  <c r="D47" i="83"/>
  <c r="D22" i="78"/>
  <c r="G19" i="78"/>
  <c r="C26" i="78"/>
  <c r="E32" i="78"/>
  <c r="G30" i="78"/>
  <c r="V121" i="62"/>
  <c r="F17" i="54"/>
  <c r="F27" i="38" s="1"/>
  <c r="F26" i="38"/>
  <c r="D24" i="78" l="1"/>
  <c r="G22" i="78"/>
  <c r="D48" i="83"/>
  <c r="G15" i="74"/>
  <c r="D55" i="83" s="1"/>
  <c r="C10" i="78"/>
  <c r="G10" i="78" s="1"/>
  <c r="N73" i="62"/>
  <c r="F36" i="30"/>
  <c r="G32" i="78"/>
  <c r="E34" i="78"/>
  <c r="R121" i="62"/>
  <c r="F18" i="54"/>
  <c r="AA121" i="62" s="1"/>
  <c r="C29" i="78"/>
  <c r="D26" i="78" l="1"/>
  <c r="G24" i="78"/>
  <c r="B11" i="62"/>
  <c r="F38" i="30"/>
  <c r="C31" i="78"/>
  <c r="G34" i="78"/>
  <c r="E37" i="78"/>
  <c r="F28" i="38"/>
  <c r="N72" i="62" s="1"/>
  <c r="D29" i="78" l="1"/>
  <c r="G26" i="78"/>
  <c r="E39" i="78"/>
  <c r="G37" i="78"/>
  <c r="E12" i="31"/>
  <c r="B7" i="62"/>
  <c r="B20" i="62"/>
  <c r="C33" i="78"/>
  <c r="D31" i="78" l="1"/>
  <c r="G29" i="78"/>
  <c r="C36" i="78"/>
  <c r="D24" i="31"/>
  <c r="B9" i="62"/>
  <c r="E41" i="78"/>
  <c r="G41" i="78" s="1"/>
  <c r="G39" i="78"/>
  <c r="D33" i="78" l="1"/>
  <c r="G31" i="78"/>
  <c r="D25" i="31"/>
  <c r="D28" i="31" s="1"/>
  <c r="B17" i="62"/>
  <c r="B35" i="62"/>
  <c r="C38" i="78"/>
  <c r="D36" i="78" l="1"/>
  <c r="G33" i="78"/>
  <c r="B81" i="62"/>
  <c r="C40" i="78"/>
  <c r="D30" i="31"/>
  <c r="D31" i="31"/>
  <c r="D38" i="78" l="1"/>
  <c r="G36" i="78"/>
  <c r="B83" i="62"/>
  <c r="B32" i="62"/>
  <c r="B82" i="62"/>
  <c r="C4" i="78"/>
  <c r="C5" i="78" s="1"/>
  <c r="D48" i="31"/>
  <c r="C43" i="78"/>
  <c r="D40" i="78" l="1"/>
  <c r="G38" i="78"/>
  <c r="B46" i="62"/>
  <c r="B9" i="78"/>
  <c r="G9" i="78" s="1"/>
  <c r="D55" i="32"/>
  <c r="B21" i="78"/>
  <c r="B14" i="78"/>
  <c r="D43" i="78" l="1"/>
  <c r="G43" i="78" s="1"/>
  <c r="G40" i="78"/>
  <c r="G14" i="78"/>
  <c r="B28" i="78"/>
  <c r="G21" i="78"/>
  <c r="B35" i="78"/>
  <c r="G35" i="78" s="1"/>
  <c r="B96" i="62"/>
  <c r="C56" i="32"/>
  <c r="B94" i="62"/>
  <c r="B113" i="62"/>
  <c r="B115" i="62"/>
  <c r="B104" i="62"/>
  <c r="B100" i="62"/>
  <c r="B117" i="62"/>
  <c r="G57" i="32"/>
  <c r="B58" i="32"/>
  <c r="B98" i="62"/>
  <c r="B116" i="62"/>
  <c r="C57" i="32"/>
  <c r="B109" i="62"/>
  <c r="B59" i="32"/>
  <c r="B106" i="62"/>
  <c r="B112" i="62"/>
  <c r="B111" i="62"/>
  <c r="B108" i="62"/>
  <c r="B92" i="62"/>
  <c r="B114" i="62"/>
  <c r="B105" i="62"/>
  <c r="B119" i="62"/>
  <c r="B110" i="62"/>
  <c r="B89" i="62"/>
  <c r="B101" i="62"/>
  <c r="B118" i="62"/>
  <c r="B42" i="78" l="1"/>
  <c r="G42" i="78" s="1"/>
  <c r="G28"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color indexed="81"/>
            <rFont val="Tahoma"/>
            <family val="2"/>
            <charset val="238"/>
          </rPr>
          <t>Martin Štěpán:</t>
        </r>
        <r>
          <rPr>
            <sz val="8"/>
            <color indexed="81"/>
            <rFont val="Tahoma"/>
            <family val="2"/>
            <charset val="238"/>
          </rPr>
          <t xml:space="preserve">
V zamčených verzích formulářů se tato položka vyplňuje na základě údaje, který byl zadán při platbě SMS.</t>
        </r>
      </text>
    </comment>
    <comment ref="B9" authorId="0" shapeId="0" xr:uid="{00000000-0006-0000-0500-000002000000}">
      <text>
        <r>
          <rPr>
            <b/>
            <sz val="8"/>
            <color indexed="81"/>
            <rFont val="Tahoma"/>
            <family val="2"/>
            <charset val="238"/>
          </rPr>
          <t>Martin Štěpán:</t>
        </r>
        <r>
          <rPr>
            <sz val="8"/>
            <color indexed="81"/>
            <rFont val="Tahoma"/>
            <family val="2"/>
            <charset val="238"/>
          </rPr>
          <t xml:space="preserve">
rodno číslo je potřeba uvést bez lomítka.</t>
        </r>
      </text>
    </comment>
    <comment ref="A13" authorId="1" shapeId="0" xr:uid="{00000000-0006-0000-0500-000003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color indexed="81"/>
            <rFont val="Tahoma"/>
            <family val="2"/>
            <charset val="238"/>
          </rPr>
          <t xml:space="preserve">Martin Štěpán: </t>
        </r>
        <r>
          <rPr>
            <sz val="8"/>
            <color indexed="81"/>
            <rFont val="Tahoma"/>
            <family val="2"/>
            <charset val="23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1" authorId="0" shapeId="0" xr:uid="{41D97337-73A2-4C7E-ADD4-DCCB12D2B18E}">
      <text>
        <r>
          <rPr>
            <b/>
            <sz val="8"/>
            <color indexed="81"/>
            <rFont val="Tahoma"/>
            <family val="2"/>
            <charset val="238"/>
          </rPr>
          <t xml:space="preserve">Martin Štěpán: </t>
        </r>
        <r>
          <rPr>
            <sz val="8"/>
            <color indexed="81"/>
            <rFont val="Tahoma"/>
            <family val="2"/>
            <charset val="238"/>
          </rPr>
          <t xml:space="preserve">Data v buňce B21 je potřeba vyplnit pomocí rozevíracího seznamu (= je potřeba kliknout na šipku, která se po vstupu na buňku B20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OSSZ/PSSZ v Praze a Prachaticích ). </t>
        </r>
      </text>
    </comment>
    <comment ref="A29" authorId="1" shapeId="0" xr:uid="{00000000-0006-0000-0500-000006000000}">
      <text>
        <r>
          <rPr>
            <b/>
            <sz val="8"/>
            <color indexed="81"/>
            <rFont val="Tahoma"/>
            <family val="2"/>
            <charset val="238"/>
          </rPr>
          <t>Martin Štěpán:</t>
        </r>
        <r>
          <rPr>
            <sz val="8"/>
            <color indexed="81"/>
            <rFont val="Tahoma"/>
            <family val="2"/>
            <charset val="23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7" authorId="0" shapeId="0" xr:uid="{9EA0EBC7-6D68-46EE-AC40-3371D184C553}">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R9" authorId="0" shapeId="0" xr:uid="{DE10EA08-9A0E-4F19-8BD0-0A4CFFAF9803}">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N9" authorId="0" shapeId="0" xr:uid="{D1E156C8-741C-45E0-A7FD-AB495358FF71}">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D11" authorId="0" shapeId="0" xr:uid="{D0625CAD-5B04-4000-ACCF-7B23BC779F0F}">
      <text>
        <r>
          <rPr>
            <b/>
            <sz val="9"/>
            <color indexed="81"/>
            <rFont val="Tahoma"/>
            <family val="2"/>
            <charset val="238"/>
          </rPr>
          <t xml:space="preserve">Mgr. Martin Štěpán:
</t>
        </r>
        <r>
          <rPr>
            <sz val="9"/>
            <color indexed="81"/>
            <rFont val="Tahoma"/>
            <family val="2"/>
            <charset val="238"/>
          </rPr>
          <t>Pokud vykonáváte činnost OSVČ jako vedlejší a Váš příjem nedosáhl rozhodné částky (pro rok 2025 = 111.736,- Kč ), nemusíte být sociálně pojištěni. Pokud nechcete být sociálně pojištěni, uveďte do tohoto řádku 0.</t>
        </r>
      </text>
    </comment>
    <comment ref="AH11" authorId="0" shapeId="0" xr:uid="{3BDF8F07-99DE-43FB-A8EC-91E74FCD65BD}">
      <text>
        <r>
          <rPr>
            <b/>
            <sz val="9"/>
            <color indexed="81"/>
            <rFont val="Tahoma"/>
            <family val="2"/>
            <charset val="238"/>
          </rPr>
          <t>Martin Štěpán:</t>
        </r>
        <r>
          <rPr>
            <sz val="9"/>
            <color indexed="81"/>
            <rFont val="Tahoma"/>
            <family val="2"/>
            <charset val="238"/>
          </rPr>
          <t xml:space="preserve">
Nechcete-li si platit v roce 2025 nemocenské pojištění OSVČ, vepište částku 0,- Kč.</t>
        </r>
      </text>
    </comment>
    <comment ref="AN15" authorId="0" shapeId="0" xr:uid="{00000000-0006-0000-1700-000003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K30" authorId="0" shapeId="0" xr:uid="{067A34AC-AEC1-46E6-87CA-29E99B228FBA}">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N30" authorId="0" shapeId="0" xr:uid="{639B4D5C-95D5-4746-AD28-89931681BC63}">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K32" authorId="0" shapeId="0" xr:uid="{820CAE09-1C0F-4D72-BC71-DB6024D6D9DC}">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D50" authorId="0" shapeId="0" xr:uid="{E37328FF-7C0D-4354-B18E-59660BEC8C94}">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W50" authorId="0" shapeId="0" xr:uid="{F935713A-DB96-4693-8B58-103C6C7AAEE5}">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133C2EAF-BA78-4D44-AEFF-664C61D5C01F}">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5" authorId="0" shapeId="0" xr:uid="{10C980F4-A695-4059-86F5-039DB31AAEDD}">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8" authorId="0" shapeId="0" xr:uid="{09B3CAAD-BD84-4420-82B9-5CA0354FFDA7}">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8FDD63B1-06B1-402F-A870-DF1ED43AECFD}">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5" authorId="0" shapeId="0" xr:uid="{A4FC26C9-5DD2-4623-8F4D-D7494CFEEEC5}">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8" authorId="0" shapeId="0" xr:uid="{EC543971-E878-472E-97C0-C774D85878AB}">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8" authorId="0" shapeId="0" xr:uid="{00000000-0006-0000-1D00-000001000000}">
      <text>
        <r>
          <rPr>
            <b/>
            <sz val="8"/>
            <color indexed="81"/>
            <rFont val="Tahoma"/>
            <family val="2"/>
            <charset val="238"/>
          </rPr>
          <t>Martin Štěpán:</t>
        </r>
        <r>
          <rPr>
            <sz val="8"/>
            <color indexed="81"/>
            <rFont val="Tahoma"/>
            <family val="2"/>
            <charset val="238"/>
          </rPr>
          <t xml:space="preserve">
Vyfiltrováním řádků s textem "ANO" dojde k vytištění pouze řádků s nenulovými hodnotami a řádků označných pouze velkým písmenem.
Vyfiltrování se provede tak, že kliknete na šipku/trychtýř v této buňce a následně vyberete pouze položku "ANO"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color indexed="81"/>
            <rFont val="Tahoma"/>
            <family val="2"/>
            <charset val="238"/>
          </rPr>
          <t>ASPEKT HM :</t>
        </r>
        <r>
          <rPr>
            <sz val="8"/>
            <color indexed="81"/>
            <rFont val="Tahoma"/>
            <family val="2"/>
            <charset val="238"/>
          </rPr>
          <t xml:space="preserve"> Tato položka se přenáší z Přílohy 1, strana 1, kterou je potřeba vyplnit před dalším vyplňováním této stránky.</t>
        </r>
      </text>
    </comment>
    <comment ref="E12" authorId="0" shapeId="0" xr:uid="{00000000-0006-0000-0700-000002000000}">
      <text>
        <r>
          <rPr>
            <b/>
            <sz val="8"/>
            <color indexed="81"/>
            <rFont val="Tahoma"/>
            <family val="2"/>
            <charset val="238"/>
          </rPr>
          <t>ASPEKT HM : Tato položka se přenáší z listu závěrka (ZAV), který je potřeba vyplnit před dalším vyplňováním této stránky.</t>
        </r>
        <r>
          <rPr>
            <sz val="8"/>
            <color indexed="81"/>
            <rFont val="Tahoma"/>
            <family val="2"/>
            <charset val="238"/>
          </rPr>
          <t xml:space="preserve">
</t>
        </r>
      </text>
    </comment>
    <comment ref="E13" authorId="0" shapeId="0" xr:uid="{00000000-0006-0000-0700-000003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text>
    </comment>
    <comment ref="E14" authorId="0" shapeId="0" xr:uid="{00000000-0006-0000-0700-000004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r>
          <rPr>
            <sz val="8"/>
            <color indexed="81"/>
            <rFont val="Tahoma"/>
            <family val="2"/>
            <charset val="238"/>
          </rPr>
          <t xml:space="preserve">
</t>
        </r>
      </text>
    </comment>
    <comment ref="F36" authorId="0" shapeId="0" xr:uid="{00000000-0006-0000-0700-000005000000}">
      <text>
        <r>
          <rPr>
            <b/>
            <sz val="8"/>
            <color indexed="81"/>
            <rFont val="Tahoma"/>
            <family val="2"/>
            <charset val="238"/>
          </rPr>
          <t>ASPEKT HM :</t>
        </r>
        <r>
          <rPr>
            <sz val="8"/>
            <color indexed="81"/>
            <rFont val="Tahoma"/>
            <family val="2"/>
            <charset val="23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 ref="D29" authorId="0" shapeId="0" xr:uid="{00000000-0006-0000-0800-000002000000}">
      <text>
        <r>
          <rPr>
            <b/>
            <sz val="8"/>
            <color indexed="81"/>
            <rFont val="Tahoma"/>
            <family val="2"/>
            <charset val="238"/>
          </rPr>
          <t>Martin Štěpán:</t>
        </r>
        <r>
          <rPr>
            <sz val="8"/>
            <color indexed="81"/>
            <rFont val="Tahoma"/>
            <family val="2"/>
            <charset val="238"/>
          </rPr>
          <t xml:space="preserve">
Podle § 35c odst. 3 má poplatník nárok na daňový bonus jen v případě, že jeho celkové příjmy podle § 6 a § 7 zákona převyšují šestinásobek minimální mzdy, která je pro rok 2025 v hodnotě 20.800,- Kč.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color indexed="81"/>
            <rFont val="Tahoma"/>
            <family val="2"/>
            <charset val="238"/>
          </rPr>
          <t>Martin Štěpán:</t>
        </r>
        <r>
          <rPr>
            <sz val="8"/>
            <color indexed="81"/>
            <rFont val="Tahoma"/>
            <family val="2"/>
            <charset val="23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color indexed="81"/>
            <rFont val="Tahoma"/>
            <family val="2"/>
            <charset val="238"/>
          </rPr>
          <t>Martin Štěpán:</t>
        </r>
        <r>
          <rPr>
            <sz val="8"/>
            <color indexed="81"/>
            <rFont val="Tahoma"/>
            <family val="2"/>
            <charset val="238"/>
          </rPr>
          <t xml:space="preserve">
Uplatňujete-li výdaj paušálem, vyplňte nejdříve sazbu paušálních výdajů na ř. 30 tohoto listu.</t>
        </r>
      </text>
    </comment>
    <comment ref="F11" authorId="0" shapeId="0" xr:uid="{00000000-0006-0000-0B00-000002000000}">
      <text>
        <r>
          <rPr>
            <b/>
            <sz val="8"/>
            <color indexed="81"/>
            <rFont val="Tahoma"/>
            <family val="2"/>
            <charset val="238"/>
          </rPr>
          <t>Martin Štěpán - ASPEKT HM:</t>
        </r>
        <r>
          <rPr>
            <sz val="8"/>
            <color indexed="81"/>
            <rFont val="Tahoma"/>
            <family val="2"/>
            <charset val="238"/>
          </rPr>
          <t xml:space="preserve">
Pokud vedete účetnictví, řádky 101 a 102 nevyplňujte a začněte řádkem 104, kam vepište hospodářský výsledek před zdaněním zjištěný z účetnictví.</t>
        </r>
      </text>
    </comment>
    <comment ref="A27" authorId="1" shapeId="0" xr:uid="{00000000-0006-0000-0B00-000003000000}">
      <text>
        <r>
          <rPr>
            <b/>
            <sz val="8"/>
            <color indexed="81"/>
            <rFont val="Tahoma"/>
            <family val="2"/>
            <charset val="238"/>
          </rPr>
          <t>ASPEKT HM :</t>
        </r>
        <r>
          <rPr>
            <sz val="8"/>
            <color indexed="81"/>
            <rFont val="Tahoma"/>
            <family val="2"/>
            <charset val="238"/>
          </rPr>
          <t xml:space="preserve"> Tuto položku vyplní pouze poplatníci účtující v soustavě podvojného účetnictví.</t>
        </r>
        <r>
          <rPr>
            <b/>
            <sz val="8"/>
            <color indexed="81"/>
            <rFont val="Tahoma"/>
            <family val="2"/>
            <charset val="238"/>
          </rPr>
          <t xml:space="preserve">
</t>
        </r>
        <r>
          <rPr>
            <sz val="8"/>
            <color indexed="81"/>
            <rFont val="Tahoma"/>
            <family val="2"/>
            <charset val="23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color indexed="81"/>
            <rFont val="Tahoma"/>
            <family val="2"/>
            <charset val="238"/>
          </rPr>
          <t>Martin Štěpán:</t>
        </r>
        <r>
          <rPr>
            <sz val="9"/>
            <color indexed="81"/>
            <rFont val="Tahoma"/>
            <family val="2"/>
            <charset val="238"/>
          </rPr>
          <t xml:space="preserve">
Uveďte pouze číselné znaky DIČ, tj. bez "CZ"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color indexed="81"/>
            <rFont val="Tahoma"/>
            <family val="2"/>
            <charset val="238"/>
          </rPr>
          <t xml:space="preserve">Mgr. Martin Štěpán: </t>
        </r>
        <r>
          <rPr>
            <sz val="9"/>
            <color indexed="81"/>
            <rFont val="Tahoma"/>
            <family val="2"/>
            <charset val="238"/>
          </rPr>
          <t xml:space="preserve">Druh příjmu uveďte písmenem : A – příležitostná činnost, B – prodej nemovitostí, C – prodej movitých věcí, D – prodej cenných papírů, E – příjmy z převodu podle § 10 odst. 1, písm. c) zákona, F – jiné ostatní příjmy, G – bezúplatné příjmy. </t>
        </r>
        <r>
          <rPr>
            <i/>
            <sz val="9"/>
            <color indexed="81"/>
            <rFont val="Tahoma"/>
            <family val="2"/>
            <charset val="238"/>
          </rPr>
          <t>Příklad : D - prodej cenných papírů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00000000-0006-0000-1600-000001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E20" authorId="0" shapeId="0" xr:uid="{AF98D625-83C9-491A-B0E6-B76BE01ADD18}">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E22" authorId="0" shapeId="0" xr:uid="{A6E352F2-8830-4F3C-A754-A1081DF5DA92}">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E24" authorId="0" shapeId="0" xr:uid="{0381C4E5-CCA8-4600-9E42-E02E9C8D6E9F}">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E26" authorId="0" shapeId="0" xr:uid="{5A62D50F-3041-44F5-975D-25848ACDDE22}">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G32" authorId="0" shapeId="0" xr:uid="{00000000-0006-0000-1600-000002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P50" authorId="0" shapeId="0" xr:uid="{00000000-0006-0000-1600-000003000000}">
      <text>
        <r>
          <rPr>
            <b/>
            <sz val="8"/>
            <color indexed="81"/>
            <rFont val="Tahoma"/>
            <family val="2"/>
            <charset val="238"/>
          </rPr>
          <t>Mgr. Martin Štěpán:</t>
        </r>
        <r>
          <rPr>
            <sz val="8"/>
            <color indexed="81"/>
            <rFont val="Tahoma"/>
            <family val="2"/>
            <charset val="238"/>
          </rPr>
          <t xml:space="preserve">
Pokud jste vykonávali činnost OSVČ v některých měsících jako vedlejší a Váš daňový základ (ř. 20) nedosáhl rozhodné částky (pro rok 2024 = 105.520,-),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4" authorId="0" shapeId="0" xr:uid="{AA370F6E-6BF4-46CC-9322-B2237C79A9E0}">
      <text>
        <r>
          <rPr>
            <b/>
            <sz val="8"/>
            <color indexed="81"/>
            <rFont val="Tahoma"/>
            <family val="2"/>
            <charset val="238"/>
          </rPr>
          <t xml:space="preserve">Mgr. Martin Štěpán:
</t>
        </r>
        <r>
          <rPr>
            <sz val="8"/>
            <color indexed="81"/>
            <rFont val="Tahoma"/>
            <family val="2"/>
            <charset val="238"/>
          </rPr>
          <t>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8" authorId="0" shapeId="0" xr:uid="{D8B92588-291F-472A-9240-6F26803B95AD}">
      <text>
        <r>
          <rPr>
            <b/>
            <sz val="8"/>
            <color indexed="81"/>
            <rFont val="Tahoma"/>
            <family val="2"/>
            <charset val="238"/>
          </rPr>
          <t>Martin Štěpán:</t>
        </r>
        <r>
          <rPr>
            <sz val="8"/>
            <color indexed="81"/>
            <rFont val="Tahoma"/>
            <family val="2"/>
            <charset val="238"/>
          </rPr>
          <t xml:space="preserve">
Tato buňka se vyplňuje jen tehdy, pokud součet vyměřovacích zakladů OSVČ a zaměstnání překročí částku 2.234.736 Kč.</t>
        </r>
      </text>
    </comment>
    <comment ref="AK71" authorId="0" shapeId="0" xr:uid="{00000000-0006-0000-1600-000006000000}">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sharedStrings.xml><?xml version="1.0" encoding="utf-8"?>
<sst xmlns="http://schemas.openxmlformats.org/spreadsheetml/2006/main" count="6840" uniqueCount="4194">
  <si>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</si>
  <si>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</si>
  <si>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</si>
  <si>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</si>
  <si>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</si>
  <si>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</si>
  <si>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</si>
  <si>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</si>
  <si>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</si>
  <si>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</si>
  <si>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</si>
  <si>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</si>
  <si>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</si>
  <si>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</si>
  <si>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</si>
  <si>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</si>
  <si>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</si>
  <si>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</si>
  <si>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</si>
  <si>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</si>
  <si>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</si>
  <si>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</si>
  <si>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</si>
  <si>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</si>
  <si>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</si>
  <si>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</si>
  <si>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</si>
  <si>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</si>
  <si>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</si>
  <si>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</si>
  <si>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</si>
  <si>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</si>
  <si>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</si>
  <si>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</si>
  <si>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</si>
  <si>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</si>
  <si>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</si>
  <si>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</si>
  <si>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</si>
  <si>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</si>
  <si>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</si>
  <si>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</si>
  <si>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</si>
  <si>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</si>
  <si>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</si>
  <si>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</si>
  <si>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</si>
  <si>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</si>
  <si>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</si>
  <si>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23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</si>
  <si>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</si>
  <si>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</si>
  <si>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</si>
  <si>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</si>
  <si>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238"/>
      </rPr>
      <t>na celé Kč</t>
    </r>
    <r>
      <rPr>
        <sz val="8"/>
        <rFont val="Arial CE"/>
        <family val="2"/>
        <charset val="238"/>
      </rPr>
      <t xml:space="preserve"> nahoru </t>
    </r>
    <r>
      <rPr>
        <b/>
        <sz val="8"/>
        <rFont val="Arial CE"/>
        <family val="2"/>
        <charset val="238"/>
      </rPr>
      <t>bez znaménka mínus</t>
    </r>
    <r>
      <rPr>
        <sz val="8"/>
        <rFont val="Arial CE"/>
        <family val="2"/>
        <charset val="238"/>
      </rPr>
      <t xml:space="preserve"> </t>
    </r>
  </si>
  <si>
    <t>Celkem</t>
  </si>
  <si>
    <t>Daňové zvýhodnění na vyživované dítě</t>
  </si>
  <si>
    <t>Počet měsíců činnosti</t>
  </si>
  <si>
    <r>
      <t xml:space="preserve">Popis úpravy podle § 5, § 23 zákona </t>
    </r>
    <r>
      <rPr>
        <b/>
        <sz val="8"/>
        <rFont val="Arial"/>
        <family val="2"/>
        <charset val="238"/>
      </rPr>
      <t>zvyšující</t>
    </r>
    <r>
      <rPr>
        <sz val="8"/>
        <rFont val="Arial"/>
        <family val="2"/>
      </rPr>
      <t xml:space="preserve"> výsledek hospodaření nebo rozdíl mezi příjmy a výdaji</t>
    </r>
  </si>
  <si>
    <r>
      <t xml:space="preserve">Popis úpravy podle § 5, § 23 zákona </t>
    </r>
    <r>
      <rPr>
        <b/>
        <sz val="8"/>
        <rFont val="Arial"/>
        <family val="2"/>
        <charset val="238"/>
      </rPr>
      <t>snižující</t>
    </r>
    <r>
      <rPr>
        <sz val="8"/>
        <rFont val="Arial"/>
        <family val="2"/>
      </rPr>
      <t xml:space="preserve"> výsledek hospodaření nebo rozdíl mezi příjmy a výdaji</t>
    </r>
  </si>
  <si>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</si>
  <si>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</si>
  <si>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</si>
  <si>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</si>
  <si>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</si>
  <si>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</si>
  <si>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</si>
  <si>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</si>
  <si>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</si>
  <si>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</si>
  <si>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charset val="23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</si>
  <si>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</si>
  <si>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23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</si>
  <si>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</si>
  <si>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</si>
  <si>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</si>
  <si>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</si>
  <si>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</si>
  <si>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238"/>
      </rPr>
      <t>1)</t>
    </r>
  </si>
  <si>
    <t>Rozdíl mezi příjmy a výdaji (ř. 201 - ř. 202) nebo výsledek hospodaření před zdaněním (zisk,ztráta)</t>
  </si>
  <si>
    <r>
      <t>1)</t>
    </r>
    <r>
      <rPr>
        <sz val="7"/>
        <rFont val="Arial"/>
        <family val="2"/>
      </rPr>
      <t xml:space="preserve"> Označte křížkem odpovídající variantu.</t>
    </r>
  </si>
  <si>
    <r>
      <t>05 DAP zpracoval a předkládá daňový poradce na základě plné moci k zastupování, která byla uplatněna u správce daně před uplynutím neprodloužené lhůty</t>
    </r>
    <r>
      <rPr>
        <vertAlign val="superscript"/>
        <sz val="8"/>
        <rFont val="Arial CE"/>
        <family val="2"/>
        <charset val="238"/>
      </rPr>
      <t>1)</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</si>
  <si>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</si>
  <si>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</si>
  <si>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</si>
  <si>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</si>
  <si>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23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</si>
  <si>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</si>
  <si>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</si>
  <si>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</si>
  <si>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</si>
  <si>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</si>
  <si>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</si>
  <si>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</si>
  <si>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</si>
  <si>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</si>
  <si>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</si>
  <si>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</si>
  <si>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</si>
  <si>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</si>
  <si>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</si>
  <si>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</si>
  <si>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</si>
  <si>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</si>
  <si>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238"/>
      </rPr>
      <t>kladných</t>
    </r>
    <r>
      <rPr>
        <sz val="8"/>
        <rFont val="Arial CE"/>
        <charset val="23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</si>
  <si>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</si>
  <si>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</si>
  <si>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</si>
  <si>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</si>
  <si>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</si>
  <si>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</si>
  <si>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</si>
  <si>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</si>
  <si>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</si>
  <si>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</si>
  <si>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</si>
  <si>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</si>
  <si>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</si>
  <si>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</si>
  <si>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238"/>
      </rPr>
      <t xml:space="preserve"> - uveďte stát zdroje zahraničních příjmů</t>
    </r>
  </si>
  <si>
    <r>
      <t>3. zaplacená daň</t>
    </r>
    <r>
      <rPr>
        <sz val="8"/>
        <rFont val="Arial"/>
        <family val="2"/>
        <charset val="238"/>
      </rPr>
      <t xml:space="preserve"> - uveďte částku daně zaplacené v tomto státě v místní měně</t>
    </r>
  </si>
  <si>
    <r>
      <t>4. daň</t>
    </r>
    <r>
      <rPr>
        <sz val="8"/>
        <rFont val="Arial"/>
        <family val="2"/>
        <charset val="23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</si>
  <si>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23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</si>
  <si>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</si>
  <si>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</si>
  <si>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</si>
  <si>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</si>
  <si>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</si>
  <si>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</si>
  <si>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</si>
  <si>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</si>
  <si>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</si>
  <si>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</si>
  <si>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</si>
  <si>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</si>
  <si>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</si>
  <si>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</si>
  <si>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</si>
  <si>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</si>
  <si>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</si>
  <si>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</si>
  <si>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</si>
  <si>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</si>
  <si>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</si>
  <si>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</si>
  <si>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</si>
  <si>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</si>
  <si>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</si>
  <si>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</si>
  <si>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</si>
  <si>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</si>
  <si>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</si>
  <si>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</si>
  <si>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</si>
  <si>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</si>
  <si>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</si>
  <si>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</si>
  <si>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</si>
  <si>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</si>
  <si>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</si>
  <si>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</si>
  <si>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</si>
  <si>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</si>
  <si>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</si>
  <si>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</si>
  <si>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</si>
  <si>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</si>
  <si>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</si>
  <si>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</si>
  <si>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</si>
  <si>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</si>
  <si>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</si>
  <si>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</si>
  <si>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</si>
  <si>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</si>
  <si>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</si>
  <si>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</si>
  <si>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</si>
  <si>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</si>
  <si>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</si>
  <si>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</si>
  <si>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</si>
  <si>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</si>
  <si>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</si>
  <si>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</si>
  <si>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</si>
  <si>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</si>
  <si>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</si>
  <si>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</si>
  <si>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</si>
  <si>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</si>
  <si>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238"/>
      </rPr>
      <t>1</t>
    </r>
    <r>
      <rPr>
        <sz val="8"/>
        <rFont val="Arial CE"/>
        <charset val="238"/>
      </rPr>
      <t>)</t>
    </r>
  </si>
  <si>
    <t>Adresa místa pobytu v den podání DAP</t>
  </si>
  <si>
    <t>Sleva podle § 35a nebo § 35b zákona</t>
  </si>
  <si>
    <t>Poslední známá daň</t>
  </si>
  <si>
    <t>Zjištěná ztráta podle § 141 zákona č. 280/2009 Sb., daňového řádu (ř. 61)</t>
  </si>
  <si>
    <t>Důvody pro podání dodatečného DAP</t>
  </si>
  <si>
    <t>c)</t>
  </si>
  <si>
    <t>d)</t>
  </si>
  <si>
    <t>e)</t>
  </si>
  <si>
    <t>f)</t>
  </si>
  <si>
    <r>
      <t>E. Úpravy podle § 5, § 23 zákona</t>
    </r>
    <r>
      <rPr>
        <b/>
        <i/>
        <vertAlign val="superscript"/>
        <sz val="8"/>
        <rFont val="Arial CE"/>
        <family val="2"/>
        <charset val="238"/>
      </rPr>
      <t>2</t>
    </r>
    <r>
      <rPr>
        <b/>
        <i/>
        <sz val="8"/>
        <rFont val="Arial CE"/>
        <charset val="23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</si>
  <si>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</si>
  <si>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</si>
  <si>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238"/>
      </rPr>
      <t>2)</t>
    </r>
  </si>
  <si>
    <t>č.</t>
  </si>
  <si>
    <t>Kód banky</t>
  </si>
  <si>
    <t>specifický symbol</t>
  </si>
  <si>
    <t>Počet měsíců</t>
  </si>
  <si>
    <t>Dílčí základ daně z kapitálového majetku podle § 8 zákona</t>
  </si>
  <si>
    <t>a)</t>
  </si>
  <si>
    <t>b)</t>
  </si>
  <si>
    <t>ano</t>
  </si>
  <si>
    <r>
      <t xml:space="preserve">03 DAP </t>
    </r>
    <r>
      <rPr>
        <vertAlign val="superscript"/>
        <sz val="8"/>
        <rFont val="Arial CE"/>
        <family val="2"/>
        <charset val="238"/>
      </rPr>
      <t>1)</t>
    </r>
  </si>
  <si>
    <t>Důvody pro podání dodatečného                                                       DAP zjištěny dne</t>
  </si>
  <si>
    <t>1-12</t>
  </si>
  <si>
    <r>
      <t>05a Zákonná povinnost ověření účetní závěrky auditorem</t>
    </r>
    <r>
      <rPr>
        <vertAlign val="superscript"/>
        <sz val="8"/>
        <rFont val="Arial CE"/>
        <family val="2"/>
        <charset val="238"/>
      </rPr>
      <t>1)</t>
    </r>
  </si>
  <si>
    <t>Účetní závěrka poplatníka, který vede účetnictví</t>
  </si>
  <si>
    <t>Závěrka daňové evidence</t>
  </si>
  <si>
    <r>
      <t>Vedu účetnictví</t>
    </r>
    <r>
      <rPr>
        <vertAlign val="superscript"/>
        <sz val="8"/>
        <rFont val="Arial CE"/>
        <family val="2"/>
        <charset val="238"/>
      </rPr>
      <t>1</t>
    </r>
    <r>
      <rPr>
        <sz val="8"/>
        <rFont val="Arial CE"/>
        <family val="2"/>
        <charset val="23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</si>
  <si>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</si>
  <si>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</si>
  <si>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</si>
  <si>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</si>
  <si>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</si>
  <si>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</si>
  <si>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</si>
  <si>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</si>
  <si>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</si>
  <si>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</si>
  <si>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</si>
  <si>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</si>
  <si>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</si>
  <si>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</si>
  <si>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</si>
  <si>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</si>
  <si>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</si>
  <si>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</si>
  <si>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</si>
  <si>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</si>
  <si>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</si>
  <si>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</si>
  <si>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</si>
  <si>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</si>
  <si>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</si>
  <si>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</si>
  <si>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</si>
  <si>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</si>
  <si>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</si>
  <si>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</si>
  <si>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Datum narození</t>
  </si>
  <si>
    <t>Počet příloh</t>
  </si>
  <si>
    <t>Podpis (a razítko) OSVČ</t>
  </si>
  <si>
    <t>Podpis a razítko OSSZ</t>
  </si>
  <si>
    <t>strana 2</t>
  </si>
  <si>
    <r>
      <t>B. Druh činnosti</t>
    </r>
    <r>
      <rPr>
        <b/>
        <vertAlign val="superscript"/>
        <sz val="8"/>
        <rFont val="Arial CE"/>
        <family val="2"/>
        <charset val="23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</si>
  <si>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</si>
  <si>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</si>
  <si>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</si>
  <si>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</si>
  <si>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</si>
  <si>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23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</si>
  <si>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</si>
  <si>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</si>
  <si>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</si>
  <si>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</si>
  <si>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</si>
  <si>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</si>
  <si>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</si>
  <si>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</si>
  <si>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</si>
  <si>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</si>
  <si>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</si>
  <si>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</si>
  <si>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</si>
  <si>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</si>
  <si>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</si>
  <si>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</si>
  <si>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</si>
  <si>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238"/>
      </rPr>
      <t>1</t>
    </r>
    <r>
      <rPr>
        <sz val="8"/>
        <rFont val="Arial CE"/>
        <family val="2"/>
        <charset val="23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</si>
  <si>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</si>
  <si>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</si>
  <si>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</si>
  <si>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</si>
  <si>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</si>
  <si>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</si>
  <si>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</si>
  <si>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</si>
  <si>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</si>
  <si>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</si>
  <si>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</si>
  <si>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</si>
  <si>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</si>
  <si>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</si>
  <si>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</si>
  <si>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</si>
  <si>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</si>
  <si>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</si>
  <si>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</si>
  <si>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</si>
  <si>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</si>
  <si>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23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</si>
  <si>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</si>
  <si>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</si>
  <si>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</si>
  <si>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</si>
  <si>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</si>
  <si>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</si>
  <si>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</si>
  <si>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</si>
  <si>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</si>
  <si>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</si>
  <si>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</si>
  <si>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</si>
  <si>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</si>
  <si>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</si>
  <si>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</si>
  <si>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</si>
  <si>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</si>
  <si>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</si>
  <si>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</si>
  <si>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</si>
  <si>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</si>
  <si>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</si>
  <si>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</si>
  <si>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</si>
  <si>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</si>
  <si>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</si>
  <si>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</si>
  <si>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</si>
  <si>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</si>
  <si>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</si>
  <si>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</si>
  <si>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</si>
  <si>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</si>
  <si>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</si>
  <si>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</si>
  <si>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</si>
  <si>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</si>
  <si>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</si>
  <si>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</si>
  <si>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</si>
  <si>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</si>
  <si>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</si>
  <si>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</si>
  <si>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</si>
  <si>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</si>
  <si>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</si>
  <si>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</si>
  <si>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</si>
  <si>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</si>
  <si>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</si>
  <si>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</si>
  <si>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</si>
  <si>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</si>
  <si>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</si>
  <si>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</si>
  <si>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</si>
  <si>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</si>
  <si>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</si>
  <si>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</si>
  <si>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</si>
  <si>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</si>
  <si>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</si>
  <si>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</si>
  <si>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</si>
  <si>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</si>
  <si>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</si>
  <si>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</si>
  <si>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</si>
  <si>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</si>
  <si>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</si>
  <si>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</si>
  <si>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</si>
  <si>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</si>
  <si>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</si>
  <si>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</si>
  <si>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</si>
  <si>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</si>
  <si>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</si>
  <si>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</si>
  <si>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</si>
  <si>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</si>
  <si>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</si>
  <si>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</si>
  <si>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</si>
  <si>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</si>
  <si>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</si>
  <si>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</si>
  <si>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</si>
  <si>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</si>
  <si>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</si>
  <si>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</si>
  <si>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</si>
  <si>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</si>
  <si>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</si>
  <si>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</si>
  <si>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</si>
  <si>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</si>
  <si>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</si>
  <si>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</si>
  <si>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</si>
  <si>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</si>
  <si>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</si>
  <si>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</si>
  <si>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</si>
  <si>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</si>
  <si>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</si>
  <si>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</si>
  <si>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</si>
  <si>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</si>
  <si>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</si>
  <si>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</si>
  <si>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</si>
  <si>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</si>
  <si>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</si>
  <si>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</si>
  <si>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</si>
  <si>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</si>
  <si>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</si>
  <si>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</si>
  <si>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</si>
  <si>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</si>
  <si>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</si>
  <si>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</si>
  <si>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</si>
  <si>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</si>
  <si>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</si>
  <si>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</si>
  <si>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</si>
  <si>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</si>
  <si>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</si>
  <si>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</si>
  <si>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</si>
  <si>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</si>
  <si>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</si>
  <si>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</si>
  <si>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</si>
  <si>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</si>
  <si>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</si>
  <si>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</si>
  <si>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</si>
  <si>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</si>
  <si>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</si>
  <si>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</si>
  <si>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</si>
  <si>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</si>
  <si>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</si>
  <si>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</si>
  <si>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</si>
  <si>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</si>
  <si>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</si>
  <si>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</si>
  <si>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</si>
  <si>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</si>
  <si>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</si>
  <si>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</si>
  <si>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</si>
  <si>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</si>
  <si>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</si>
  <si>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</si>
  <si>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</si>
  <si>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</si>
  <si>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</si>
  <si>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</si>
  <si>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</si>
  <si>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</si>
  <si>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</si>
  <si>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</si>
  <si>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</si>
  <si>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</si>
  <si>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</si>
  <si>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</si>
  <si>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</si>
  <si>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</si>
  <si>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</si>
  <si>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</si>
  <si>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</si>
  <si>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</si>
  <si>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</si>
  <si>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</si>
  <si>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</si>
  <si>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</si>
  <si>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</si>
  <si>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</si>
  <si>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</si>
  <si>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</si>
  <si>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</si>
  <si>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</si>
  <si>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</si>
  <si>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</si>
  <si>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</si>
  <si>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</si>
  <si>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</si>
  <si>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</si>
  <si>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</si>
  <si>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</si>
  <si>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</si>
  <si>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</si>
  <si>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</si>
  <si>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</si>
  <si>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</si>
  <si>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</si>
  <si>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</si>
  <si>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</si>
  <si>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</si>
  <si>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</si>
  <si>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</si>
  <si>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</si>
  <si>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</si>
  <si>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</si>
  <si>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</si>
  <si>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</si>
  <si>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</si>
  <si>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</si>
  <si>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</si>
  <si>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</si>
  <si>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</si>
  <si>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</si>
  <si>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</si>
  <si>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</si>
  <si>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</si>
  <si>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</si>
  <si>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</si>
  <si>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</si>
  <si>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</si>
  <si>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</si>
  <si>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</si>
  <si>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</si>
  <si>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</si>
  <si>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</si>
  <si>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</si>
  <si>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</si>
  <si>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</si>
  <si>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</si>
  <si>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</si>
  <si>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</si>
  <si>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</si>
  <si>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</si>
  <si>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</si>
  <si>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</si>
  <si>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</si>
  <si>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</si>
  <si>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</si>
  <si>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</si>
  <si>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</si>
  <si>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</si>
  <si>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</si>
  <si>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</si>
  <si>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</si>
  <si>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</si>
  <si>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</si>
  <si>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</si>
  <si>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</si>
  <si>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</si>
  <si>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</si>
  <si>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</si>
  <si>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</si>
  <si>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</si>
  <si>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</si>
  <si>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</si>
  <si>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</si>
  <si>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</si>
  <si>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</si>
  <si>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</si>
  <si>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</si>
  <si>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</si>
  <si>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</si>
  <si>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</si>
  <si>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</si>
  <si>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</si>
  <si>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</si>
  <si>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</si>
  <si>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</si>
  <si>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</si>
  <si>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</si>
  <si>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</si>
  <si>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</si>
  <si>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</si>
  <si>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</si>
  <si>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</si>
  <si>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</si>
  <si>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</si>
  <si>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</si>
  <si>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</si>
  <si>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</si>
  <si>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</si>
  <si>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</si>
  <si>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</si>
  <si>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</si>
  <si>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</si>
  <si>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</si>
  <si>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</si>
  <si>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</si>
  <si>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</si>
  <si>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</si>
  <si>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</si>
  <si>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</si>
  <si>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</si>
  <si>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</si>
  <si>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</si>
  <si>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</si>
  <si>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</si>
  <si>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</si>
  <si>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</si>
  <si>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</si>
  <si>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</si>
  <si>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</si>
  <si>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</si>
  <si>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</si>
  <si>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</si>
  <si>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</si>
  <si>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</si>
  <si>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</si>
  <si>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</si>
  <si>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</si>
  <si>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</si>
  <si>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</si>
  <si>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</si>
  <si>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</si>
  <si>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</si>
  <si>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</si>
  <si>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</si>
  <si>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</si>
  <si>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</si>
  <si>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</si>
  <si>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</si>
  <si>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</si>
  <si>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</si>
  <si>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</si>
  <si>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</si>
  <si>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</si>
  <si>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</si>
  <si>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</si>
  <si>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</si>
  <si>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</si>
  <si>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</si>
  <si>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</si>
  <si>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</si>
  <si>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</si>
  <si>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</si>
  <si>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</si>
  <si>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</si>
  <si>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</si>
  <si>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</si>
  <si>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</si>
  <si>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</si>
  <si>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</si>
  <si>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</si>
  <si>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</si>
  <si>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</si>
  <si>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</si>
  <si>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</si>
  <si>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</si>
  <si>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</si>
  <si>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</si>
  <si>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</si>
  <si>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</si>
  <si>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</si>
  <si>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</si>
  <si>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</si>
  <si>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</si>
  <si>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</si>
  <si>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</si>
  <si>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</si>
  <si>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</si>
  <si>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</si>
  <si>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</si>
  <si>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</si>
  <si>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</si>
  <si>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</si>
  <si>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</si>
  <si>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</si>
  <si>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</si>
  <si>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</si>
  <si>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</si>
  <si>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</si>
  <si>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</si>
  <si>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</si>
  <si>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</si>
  <si>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</si>
  <si>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</si>
  <si>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</si>
  <si>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</si>
  <si>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</si>
  <si>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</si>
  <si>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</si>
  <si>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</si>
  <si>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</si>
  <si>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</si>
  <si>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</si>
  <si>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</si>
  <si>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</si>
  <si>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</si>
  <si>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</si>
  <si>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</si>
  <si>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</si>
  <si>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</si>
  <si>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</si>
  <si>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</si>
  <si>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</si>
  <si>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</si>
  <si>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</si>
  <si>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</si>
  <si>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</si>
  <si>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</si>
  <si>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</si>
  <si>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</si>
  <si>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</si>
  <si>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</si>
  <si>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</si>
  <si>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</si>
  <si>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</si>
  <si>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</si>
  <si>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STŘEDOČESKÝ KRAJ</t>
  </si>
  <si>
    <t>PRAHA 2</t>
  </si>
  <si>
    <t>Afghánská islámská republika</t>
  </si>
  <si>
    <t>AF</t>
  </si>
  <si>
    <t>Lesnictví a těžba dřeva</t>
  </si>
  <si>
    <t>JIHOČESKÝ KRAJ</t>
  </si>
  <si>
    <t>PRAHA 3</t>
  </si>
  <si>
    <t>Provincie Alandy</t>
  </si>
  <si>
    <t>AX</t>
  </si>
  <si>
    <t>Rybolov a akvakultura</t>
  </si>
  <si>
    <t>PLZEŇSKÝ KRAJ</t>
  </si>
  <si>
    <t>PRAHA 4</t>
  </si>
  <si>
    <t>Albánská republika</t>
  </si>
  <si>
    <t>AL</t>
  </si>
  <si>
    <t>Těžba a úprava černého a hnědého uhlí</t>
  </si>
  <si>
    <t>KARLOVARSKÝ KRAJ</t>
  </si>
  <si>
    <t>PRAHA 5</t>
  </si>
  <si>
    <t>Alžírská demokratická a lidová republika</t>
  </si>
  <si>
    <t>DZ</t>
  </si>
  <si>
    <t>Těžba ropy a zemního plynu</t>
  </si>
  <si>
    <t>ÚSTECKÝ KRAJ</t>
  </si>
  <si>
    <t>PRAHA 6</t>
  </si>
  <si>
    <t>Území Americká Samoa</t>
  </si>
  <si>
    <t>AS</t>
  </si>
  <si>
    <t>Těžba a úprava rud</t>
  </si>
  <si>
    <t>LIBERECKÝ KRAJ</t>
  </si>
  <si>
    <t>PRAHA 7</t>
  </si>
  <si>
    <t>Americké Panenské ostrovy</t>
  </si>
  <si>
    <t>VI</t>
  </si>
  <si>
    <t>Ostatní těžba a dobývání</t>
  </si>
  <si>
    <t>KRÁLOVÉHRADEC. KR.</t>
  </si>
  <si>
    <t>PRAHA 8</t>
  </si>
  <si>
    <t>Andorrské knížectví</t>
  </si>
  <si>
    <t>AD</t>
  </si>
  <si>
    <t>Podpůrné činnosti při těžbě</t>
  </si>
  <si>
    <t>PARDUBICKÝ KRAJ</t>
  </si>
  <si>
    <t>PRAHA 9</t>
  </si>
  <si>
    <t>Angolská republika</t>
  </si>
  <si>
    <t>AO</t>
  </si>
  <si>
    <t>Výroba potravinářských výrobků</t>
  </si>
  <si>
    <t>KRAJ VYSOČINA</t>
  </si>
  <si>
    <t>PRAHA 10</t>
  </si>
  <si>
    <t>Anguilla</t>
  </si>
  <si>
    <t>AI</t>
  </si>
  <si>
    <t>Výroba nápojů</t>
  </si>
  <si>
    <t>JIHOMORAVSKÝ KRAJ</t>
  </si>
  <si>
    <t>PRAHA-JIŽNÍ MĚSTO</t>
  </si>
  <si>
    <t>Antarktida</t>
  </si>
  <si>
    <t>AQ</t>
  </si>
  <si>
    <t>Pěstování plodin jiných než trvalých</t>
  </si>
  <si>
    <t>OLOMOUCKÝ KRAJ</t>
  </si>
  <si>
    <t>PRAHA-MODŘANY</t>
  </si>
  <si>
    <t>Antigua a Barbuda</t>
  </si>
  <si>
    <t>AG</t>
  </si>
  <si>
    <t>Výroba tabákových výrobků</t>
  </si>
  <si>
    <t>MORAVSKOSLEZS. KR.</t>
  </si>
  <si>
    <t>PRAHA - VÝCHOD</t>
  </si>
  <si>
    <t>Argentinská republika</t>
  </si>
  <si>
    <t>AR</t>
  </si>
  <si>
    <t>Pěstování trvalých plodin</t>
  </si>
  <si>
    <t>ZLÍNSKÝ KRAJ</t>
  </si>
  <si>
    <t>PRAHA ZÁPAD</t>
  </si>
  <si>
    <t>Arménská republika</t>
  </si>
  <si>
    <t>AM</t>
  </si>
  <si>
    <t>Výroba textilií</t>
  </si>
  <si>
    <t>SPECIALIZOVANÝ</t>
  </si>
  <si>
    <t>BENEŠOV</t>
  </si>
  <si>
    <t>Aruba</t>
  </si>
  <si>
    <t>AW</t>
  </si>
  <si>
    <t>Množení rostlin</t>
  </si>
  <si>
    <t>BEROUN</t>
  </si>
  <si>
    <t>Australské společenství</t>
  </si>
  <si>
    <t>AU</t>
  </si>
  <si>
    <t>Výroba oděvů</t>
  </si>
  <si>
    <t>BRANDÝS N.L. - ST.BOL.</t>
  </si>
  <si>
    <t>Ázerbájdžánská republika</t>
  </si>
  <si>
    <t>AZ</t>
  </si>
  <si>
    <t>živočišná výroba</t>
  </si>
  <si>
    <t>ČÁSLAV</t>
  </si>
  <si>
    <t>Bahamské společenství</t>
  </si>
  <si>
    <t>BS</t>
  </si>
  <si>
    <t>Výroba usní a souvisejících výrobků</t>
  </si>
  <si>
    <t>ČESKÝ BROD</t>
  </si>
  <si>
    <t>Království Bahrajn</t>
  </si>
  <si>
    <t>BH</t>
  </si>
  <si>
    <t>Smíšené hospodářství</t>
  </si>
  <si>
    <t>DOBŘÍŠ</t>
  </si>
  <si>
    <t>Bangladéšská lidová republika</t>
  </si>
  <si>
    <t>BD</t>
  </si>
  <si>
    <t>Zprac.dřeva,výroba dřevěných,korkových,proutěných a slam.výr.,kromě nábytku</t>
  </si>
  <si>
    <t>HOŘOVICE</t>
  </si>
  <si>
    <t>Barbados</t>
  </si>
  <si>
    <t>BB</t>
  </si>
  <si>
    <t>Podpůrné činnosti pro zemědělství a posklizňové činnosti</t>
  </si>
  <si>
    <t>KLADNO</t>
  </si>
  <si>
    <t>Belgické království</t>
  </si>
  <si>
    <t>BE</t>
  </si>
  <si>
    <t>Výroba papíru a výrobků z papíru</t>
  </si>
  <si>
    <t>KOLÍN</t>
  </si>
  <si>
    <t>Belize</t>
  </si>
  <si>
    <t>BZ</t>
  </si>
  <si>
    <t>Lov a odchyt divokých zvířat a související činnosti</t>
  </si>
  <si>
    <t>KRALUPY NAD VLTAVOU</t>
  </si>
  <si>
    <t>Běloruská republika</t>
  </si>
  <si>
    <t>BY</t>
  </si>
  <si>
    <t>Tisk a rozmnožování nahraných nosičů</t>
  </si>
  <si>
    <t>KUTNÁ HORA</t>
  </si>
  <si>
    <t>Beninská republika</t>
  </si>
  <si>
    <t>BJ</t>
  </si>
  <si>
    <t>Výroba koksu a rafinovaných ropných produktů</t>
  </si>
  <si>
    <t>MĚLNÍK</t>
  </si>
  <si>
    <t>Bermudy</t>
  </si>
  <si>
    <t>BM</t>
  </si>
  <si>
    <t>Výroba chemických látek a chemických přípravků</t>
  </si>
  <si>
    <t>MLADÁ BOLESLAV</t>
  </si>
  <si>
    <t>Bhútánské království</t>
  </si>
  <si>
    <t>BT</t>
  </si>
  <si>
    <t>Výroba základních farmaceutických výrobků a farmaceutických přípravků</t>
  </si>
  <si>
    <t>MNICHOVO HRADIŠTĚ</t>
  </si>
  <si>
    <t>Mnohonárodní stát Bolívie</t>
  </si>
  <si>
    <t>BO</t>
  </si>
  <si>
    <t>Lesní hospodářství a jiné činnosti v oblasti lesnictví</t>
  </si>
  <si>
    <t>NERATOVICE</t>
  </si>
  <si>
    <t>Bonaire, Svatý Eustach a Saba</t>
  </si>
  <si>
    <t>BQ</t>
  </si>
  <si>
    <t>Výroba pryžových a plastových výrobků</t>
  </si>
  <si>
    <t>NYMBURK</t>
  </si>
  <si>
    <t>Bosna a Hercegovina</t>
  </si>
  <si>
    <t>BA</t>
  </si>
  <si>
    <t>Těžba dřeva</t>
  </si>
  <si>
    <t>PODĚBRADY</t>
  </si>
  <si>
    <t>Botswanská republika</t>
  </si>
  <si>
    <t>BW</t>
  </si>
  <si>
    <t>Výroba ostatních nekovových minerálních výrobků</t>
  </si>
  <si>
    <t>PŘÍBRAM</t>
  </si>
  <si>
    <t>Bouvetův ostrov</t>
  </si>
  <si>
    <t>BV</t>
  </si>
  <si>
    <t>Sběr a získávání volně rostoucích plodů a materiálů, kromě dřeva</t>
  </si>
  <si>
    <t>RAKOVNÍK</t>
  </si>
  <si>
    <t>Brazilská federativní republika</t>
  </si>
  <si>
    <t>BR</t>
  </si>
  <si>
    <t>Výroba základních kovů, hutní zpracování kovů; slévárenství</t>
  </si>
  <si>
    <t>ŘÍČANY</t>
  </si>
  <si>
    <t>Britské území v Indickém oceánu</t>
  </si>
  <si>
    <t>IO</t>
  </si>
  <si>
    <t>Podpůrné činnosti pro lesnictví</t>
  </si>
  <si>
    <t>SEDLČANY</t>
  </si>
  <si>
    <t>Britské Panenské ostrovy</t>
  </si>
  <si>
    <t>VG</t>
  </si>
  <si>
    <t>Výroba kovových konstrukcí a kovodělných výrobků, kromě strojů a zařízení</t>
  </si>
  <si>
    <t>SLANÝ</t>
  </si>
  <si>
    <t>Stát Brunej Darussalam</t>
  </si>
  <si>
    <t>BN</t>
  </si>
  <si>
    <t>Výroba počítačů, elektronických a optických přístrojů a zařízení</t>
  </si>
  <si>
    <t>VLAŠIM</t>
  </si>
  <si>
    <t>Bulharská republika</t>
  </si>
  <si>
    <t>BG</t>
  </si>
  <si>
    <t>Výroba elektrických zařízení</t>
  </si>
  <si>
    <t>VOTICE</t>
  </si>
  <si>
    <t>Burkina Faso</t>
  </si>
  <si>
    <t>BF</t>
  </si>
  <si>
    <t>Výroba strojů a zařízení j. n.</t>
  </si>
  <si>
    <t>ČESKÉ BUDĚJOVICE</t>
  </si>
  <si>
    <t>Burundská republika</t>
  </si>
  <si>
    <t>BI</t>
  </si>
  <si>
    <t>Výroba motorových vozidel (kromě motocyklů), přívěsů a návěsů</t>
  </si>
  <si>
    <t>BLATNÁ</t>
  </si>
  <si>
    <t>Cookovy ostrovy</t>
  </si>
  <si>
    <t>CK</t>
  </si>
  <si>
    <t>Výroba ostatních dopravních prostředků a zařízení</t>
  </si>
  <si>
    <t>ČESKÝ KRUMLOV</t>
  </si>
  <si>
    <t>Curaçao</t>
  </si>
  <si>
    <t>CW</t>
  </si>
  <si>
    <t>Výroba nábytku</t>
  </si>
  <si>
    <t>DAČICE</t>
  </si>
  <si>
    <t>Čadská republika</t>
  </si>
  <si>
    <t>TD</t>
  </si>
  <si>
    <t>Rybolov</t>
  </si>
  <si>
    <t>JINDŘICHŮV HRADEC</t>
  </si>
  <si>
    <t>Černá Hora</t>
  </si>
  <si>
    <t>ME</t>
  </si>
  <si>
    <t>Ostatní zpracovatelský průmysl</t>
  </si>
  <si>
    <t>KAPLICE</t>
  </si>
  <si>
    <t>Česká republika</t>
  </si>
  <si>
    <t>Akvakultura</t>
  </si>
  <si>
    <t>MILEVSKO</t>
  </si>
  <si>
    <t>Čínská lidová republika</t>
  </si>
  <si>
    <t>CN</t>
  </si>
  <si>
    <t>Opravy a instalace strojů a zařízení</t>
  </si>
  <si>
    <t>PÍSEK</t>
  </si>
  <si>
    <t>Dánské království</t>
  </si>
  <si>
    <t>DK</t>
  </si>
  <si>
    <t>Výroba a rozvod elektřiny, plynu, tepla a klimatizovaného vzduchu</t>
  </si>
  <si>
    <t>PRACHATICE</t>
  </si>
  <si>
    <t>Demokratická republika Kongo</t>
  </si>
  <si>
    <t>CD</t>
  </si>
  <si>
    <t>Shromažďování, úprava a rozvod vody</t>
  </si>
  <si>
    <t>SOBĚSLAV</t>
  </si>
  <si>
    <t>Dominické společenství</t>
  </si>
  <si>
    <t>DM</t>
  </si>
  <si>
    <t>Činnosti související s odpadními vodami</t>
  </si>
  <si>
    <t>STRAKONICE</t>
  </si>
  <si>
    <t>Dominikánská republika</t>
  </si>
  <si>
    <t>DO</t>
  </si>
  <si>
    <t>Shromažďování,sběr a odstraňování odpadů,úprava odpadů k dalšímu využití</t>
  </si>
  <si>
    <t>TÁBOR</t>
  </si>
  <si>
    <t>Džibutská republika</t>
  </si>
  <si>
    <t>DJ</t>
  </si>
  <si>
    <t>Sanace a jiné činnosti související s odpady</t>
  </si>
  <si>
    <t>TRHOVÉ SVINY</t>
  </si>
  <si>
    <t>Egyptská arabská republika</t>
  </si>
  <si>
    <t>EG</t>
  </si>
  <si>
    <t>Výstavba budov</t>
  </si>
  <si>
    <t>TŘEBOŇ</t>
  </si>
  <si>
    <t>Ekvádorská republika</t>
  </si>
  <si>
    <t>EC</t>
  </si>
  <si>
    <t>Inženýrské stavitelství</t>
  </si>
  <si>
    <t>TÝN NAD VLTAVOU</t>
  </si>
  <si>
    <t>Stát Eritrea</t>
  </si>
  <si>
    <t>ER</t>
  </si>
  <si>
    <t>Specializované stavební činnosti</t>
  </si>
  <si>
    <t>VIMPERK</t>
  </si>
  <si>
    <t>Estonská republika</t>
  </si>
  <si>
    <t>EE</t>
  </si>
  <si>
    <t>Velkoobchod, maloobchod a opravy motorových vozidel</t>
  </si>
  <si>
    <t>VODŇANY</t>
  </si>
  <si>
    <t>Etiopská federativní demokratická republika</t>
  </si>
  <si>
    <t>ET</t>
  </si>
  <si>
    <t>Velkoobchod, kromě motorových vozidel</t>
  </si>
  <si>
    <t>PLZEŇ</t>
  </si>
  <si>
    <t>Faerské ostrovy</t>
  </si>
  <si>
    <t>FO</t>
  </si>
  <si>
    <t>Maloobchod, kromě motorových vozidel</t>
  </si>
  <si>
    <t>PLZEŇ-SEVER</t>
  </si>
  <si>
    <t>Falklandské ostrovy</t>
  </si>
  <si>
    <t>FK</t>
  </si>
  <si>
    <t>Pozemní a potrubní doprava</t>
  </si>
  <si>
    <t>PLZEŇ-JIH</t>
  </si>
  <si>
    <t>Fidžijská republika</t>
  </si>
  <si>
    <t>FJ</t>
  </si>
  <si>
    <t>Vodní doprava</t>
  </si>
  <si>
    <t>BLOVICE</t>
  </si>
  <si>
    <t>Filipínská republika</t>
  </si>
  <si>
    <t>PH</t>
  </si>
  <si>
    <t>Letecká doprava</t>
  </si>
  <si>
    <t>DOMAŽLICE</t>
  </si>
  <si>
    <t>Finská republika</t>
  </si>
  <si>
    <t>FI</t>
  </si>
  <si>
    <t>Těžba a úprava černého uhlí</t>
  </si>
  <si>
    <t>HORAŽĎOVICE</t>
  </si>
  <si>
    <t>Francouzská republika</t>
  </si>
  <si>
    <t>FR</t>
  </si>
  <si>
    <t>Skladování a vedlejší činnosti v dopravě</t>
  </si>
  <si>
    <t>HORŠOVSKÝ TÝN</t>
  </si>
  <si>
    <t>Region Francouzská Guyana</t>
  </si>
  <si>
    <t>GF</t>
  </si>
  <si>
    <t>Těžba a úprava hnědého uhlí</t>
  </si>
  <si>
    <t>KLATOVY</t>
  </si>
  <si>
    <t>Teritorium Francouzská jižní a antarktická území</t>
  </si>
  <si>
    <t>Poštovní a kurýrní činnosti</t>
  </si>
  <si>
    <t>KRALOVICE</t>
  </si>
  <si>
    <t>Francouzská Polynésie</t>
  </si>
  <si>
    <t>PF</t>
  </si>
  <si>
    <t>Ubytování</t>
  </si>
  <si>
    <t>NEPOMUK</t>
  </si>
  <si>
    <t>Gabonská republika</t>
  </si>
  <si>
    <t>GA</t>
  </si>
  <si>
    <t>Stravování a pohostinství</t>
  </si>
  <si>
    <t>PŘEŠTICE</t>
  </si>
  <si>
    <t>Gambijská republika</t>
  </si>
  <si>
    <t>GM</t>
  </si>
  <si>
    <t>Vydavatelské činnosti</t>
  </si>
  <si>
    <t>ROKYCANY</t>
  </si>
  <si>
    <t>Ghanská republika</t>
  </si>
  <si>
    <t>GH</t>
  </si>
  <si>
    <t>Čin.v obl.filmů,videozázn.a tel.programů,pořiz.zvuk.nahr.a hudeb.vyd.čin.</t>
  </si>
  <si>
    <t>TACHOV</t>
  </si>
  <si>
    <t>Gibraltar</t>
  </si>
  <si>
    <t>GI</t>
  </si>
  <si>
    <t>Tvorba programů a vysílání</t>
  </si>
  <si>
    <t>STŘÍBRO</t>
  </si>
  <si>
    <t>Grenadský stát</t>
  </si>
  <si>
    <t>GD</t>
  </si>
  <si>
    <t>Telekomunikační činnosti</t>
  </si>
  <si>
    <t>SUŠICE</t>
  </si>
  <si>
    <t>Grónsko</t>
  </si>
  <si>
    <t>GL</t>
  </si>
  <si>
    <t>Těžba ropy</t>
  </si>
  <si>
    <t>KARLOVY VARY</t>
  </si>
  <si>
    <t>Gruzie</t>
  </si>
  <si>
    <t>GE</t>
  </si>
  <si>
    <t>Činnosti v oblasti informačních technologií</t>
  </si>
  <si>
    <t>AŠ</t>
  </si>
  <si>
    <t>Region Guadeloupe</t>
  </si>
  <si>
    <t>GP</t>
  </si>
  <si>
    <t>Těžba zemního plynu</t>
  </si>
  <si>
    <t>CHEB</t>
  </si>
  <si>
    <t>Teritorium Guam</t>
  </si>
  <si>
    <t>GU</t>
  </si>
  <si>
    <t>Informační činnosti</t>
  </si>
  <si>
    <t>KRASLICE</t>
  </si>
  <si>
    <t>Guatemalská republika</t>
  </si>
  <si>
    <t>GT</t>
  </si>
  <si>
    <t>Finanční zprostředkování, kromě pojišťovnictví a penzijního financování</t>
  </si>
  <si>
    <t>MARIÁNSKÉ LÁZNĚ</t>
  </si>
  <si>
    <t>Bailiwick Guernsey</t>
  </si>
  <si>
    <t>GG</t>
  </si>
  <si>
    <t>Pojištění,zajištění a penzijní financování,kromě povinného soc.zabezpečení</t>
  </si>
  <si>
    <t>OSTROV NAD OHŘÍ</t>
  </si>
  <si>
    <t>Guinejská republika</t>
  </si>
  <si>
    <t>GN</t>
  </si>
  <si>
    <t>Ostatní finanční činnosti</t>
  </si>
  <si>
    <t>SOKOLOV</t>
  </si>
  <si>
    <t>Republika Guinea-Bissau</t>
  </si>
  <si>
    <t>GW</t>
  </si>
  <si>
    <t>Činnosti v oblasti nemovitostí</t>
  </si>
  <si>
    <t>ÚSTÍ NAD LABEM</t>
  </si>
  <si>
    <t>Guyanská kooperativní republika</t>
  </si>
  <si>
    <t>GY</t>
  </si>
  <si>
    <t>Právní a účetnické činnosti</t>
  </si>
  <si>
    <t>BÍLINA</t>
  </si>
  <si>
    <t>Republika Haiti</t>
  </si>
  <si>
    <t>HT</t>
  </si>
  <si>
    <t>Činnosti vedení podniků; poradenství v oblasti řízení</t>
  </si>
  <si>
    <t>DĚČÍN</t>
  </si>
  <si>
    <t>Heardův ostrov a MacDonaldovy ostrovy</t>
  </si>
  <si>
    <t>HM</t>
  </si>
  <si>
    <t>Architektonické a inženýrské činnosti; technické zkoušky a analýzy</t>
  </si>
  <si>
    <t>CHOMUTOV</t>
  </si>
  <si>
    <t>Honduraská republika</t>
  </si>
  <si>
    <t>HN</t>
  </si>
  <si>
    <t>Těžba a úprava železných rud</t>
  </si>
  <si>
    <t>KADAŇ</t>
  </si>
  <si>
    <t>Zvláštní administrativní oblast Čínské lidové republiky Hongkong</t>
  </si>
  <si>
    <t>HK</t>
  </si>
  <si>
    <t>Výzkum a vývoj</t>
  </si>
  <si>
    <t>LIBOCHOVICE</t>
  </si>
  <si>
    <t>Chilská republika</t>
  </si>
  <si>
    <t>CL</t>
  </si>
  <si>
    <t>Těžba a úprava neželezných rud</t>
  </si>
  <si>
    <t>LITOMĚŘICE</t>
  </si>
  <si>
    <t>Chorvatská republika</t>
  </si>
  <si>
    <t>HR</t>
  </si>
  <si>
    <t>Reklama a průzkum trhu</t>
  </si>
  <si>
    <t>LITVÍNOV</t>
  </si>
  <si>
    <t>Indická republika</t>
  </si>
  <si>
    <t>IN</t>
  </si>
  <si>
    <t>Ostatní profesní, vědecké a technické činnosti</t>
  </si>
  <si>
    <t>LOUNY</t>
  </si>
  <si>
    <t>Indonéská republika</t>
  </si>
  <si>
    <t>ID</t>
  </si>
  <si>
    <t>Veterinární činnosti</t>
  </si>
  <si>
    <t>MOST</t>
  </si>
  <si>
    <t>Irácká republika</t>
  </si>
  <si>
    <t>IQ</t>
  </si>
  <si>
    <t>Činnosti v oblasti pronájmu a operativního leasingu</t>
  </si>
  <si>
    <t>PODBOŘANY</t>
  </si>
  <si>
    <t>Íránská islámská republika</t>
  </si>
  <si>
    <t>IR</t>
  </si>
  <si>
    <t>Činnosti související se zaměstnáním</t>
  </si>
  <si>
    <t>ROUDNICE NAD LABEM</t>
  </si>
  <si>
    <t>Irsko</t>
  </si>
  <si>
    <t>IE</t>
  </si>
  <si>
    <t>Činnosti cest.agentur,kanceláří a jiné rezervační a související činnosti</t>
  </si>
  <si>
    <t>RUMBURK</t>
  </si>
  <si>
    <t>Islandská republika</t>
  </si>
  <si>
    <t>IS</t>
  </si>
  <si>
    <t>Bezpečnostní a pátrací činnosti</t>
  </si>
  <si>
    <t>TEPLICE</t>
  </si>
  <si>
    <t>Italská republika</t>
  </si>
  <si>
    <t>IT</t>
  </si>
  <si>
    <t>Činnosti související se stavbami a úpravou krajiny</t>
  </si>
  <si>
    <t>ŽATEC</t>
  </si>
  <si>
    <t>Stát Izrael</t>
  </si>
  <si>
    <t>IL</t>
  </si>
  <si>
    <t>Dobývání kamene, písků a jílů</t>
  </si>
  <si>
    <t>LIBEREC</t>
  </si>
  <si>
    <t>Jamajka</t>
  </si>
  <si>
    <t>JM</t>
  </si>
  <si>
    <t>Administrativní, kancelářské a jiné podpůrné činnosti pro podnikání</t>
  </si>
  <si>
    <t>ČESKÁ LÍPA</t>
  </si>
  <si>
    <t>Japonsko</t>
  </si>
  <si>
    <t>JP</t>
  </si>
  <si>
    <t>Veřejná správa a obrana; povinné sociální zabezpečení</t>
  </si>
  <si>
    <t>FRÝDLANT</t>
  </si>
  <si>
    <t>Jemenská republika</t>
  </si>
  <si>
    <t>YE</t>
  </si>
  <si>
    <t>Vzdělávání</t>
  </si>
  <si>
    <t>JABLONEC NAD NISOU</t>
  </si>
  <si>
    <t>Bailiwick Jersey</t>
  </si>
  <si>
    <t>JE</t>
  </si>
  <si>
    <t>Zdravotní péče</t>
  </si>
  <si>
    <t>JILEMNICE</t>
  </si>
  <si>
    <t>Jihoafrická republika</t>
  </si>
  <si>
    <t>ZA</t>
  </si>
  <si>
    <t>Pobytové služby sociální péče</t>
  </si>
  <si>
    <t>NOVÝ BOR</t>
  </si>
  <si>
    <t>Jižní Georgie a Jižní Sandwichovy ostrovy</t>
  </si>
  <si>
    <t>GS</t>
  </si>
  <si>
    <t>Ambulantní nebo terénní sociální služby</t>
  </si>
  <si>
    <t>SEMILY</t>
  </si>
  <si>
    <t>Jihosúdánská republika</t>
  </si>
  <si>
    <t>SS</t>
  </si>
  <si>
    <t>Těžba a dobývání j. n.</t>
  </si>
  <si>
    <t>TANVALD</t>
  </si>
  <si>
    <t>Jordánské hášimovské království</t>
  </si>
  <si>
    <t>JO</t>
  </si>
  <si>
    <t>Tvůrčí, umělecké a zábavní činnosti</t>
  </si>
  <si>
    <t>TURNOV</t>
  </si>
  <si>
    <t>Kajmanské ostrovy</t>
  </si>
  <si>
    <t>KY</t>
  </si>
  <si>
    <t>Činnosti knihoven, archivů, muzeí a jiných kulturních zařízení</t>
  </si>
  <si>
    <t>ŽELEZNÝ BROD</t>
  </si>
  <si>
    <t>Kambodžské království</t>
  </si>
  <si>
    <t>KH</t>
  </si>
  <si>
    <t>Podpůrné činnosti při těžbě ropy a zemního plynu</t>
  </si>
  <si>
    <t>HRADEC KRÁLOVÉ</t>
  </si>
  <si>
    <t>Kamerunská republika</t>
  </si>
  <si>
    <t>CM</t>
  </si>
  <si>
    <t>Činnosti heren, kasin a sázkových kanceláří</t>
  </si>
  <si>
    <t>BROUMOV</t>
  </si>
  <si>
    <t>Kanada</t>
  </si>
  <si>
    <t>CA</t>
  </si>
  <si>
    <t>Sportovní, zábavní a rekreační činnosti</t>
  </si>
  <si>
    <t>DOBRUŠKA</t>
  </si>
  <si>
    <t>Kapverdská republika</t>
  </si>
  <si>
    <t>CV</t>
  </si>
  <si>
    <t>Činnosti organizací sdružujících osoby za účelem prosazování spol.zájmů</t>
  </si>
  <si>
    <t>DVŮR KRÁLOVÉ</t>
  </si>
  <si>
    <t>Stát Katar</t>
  </si>
  <si>
    <t>QA</t>
  </si>
  <si>
    <t>Opravy počítačů a výrobků pro osobní potřebu a převážně pro domácnost</t>
  </si>
  <si>
    <t>HOŘICE</t>
  </si>
  <si>
    <t>Republika Kazachstán</t>
  </si>
  <si>
    <t>KZ</t>
  </si>
  <si>
    <t>Poskytování ostatních osobních služeb</t>
  </si>
  <si>
    <t>JAROMĚŘ</t>
  </si>
  <si>
    <t>Keňská republika</t>
  </si>
  <si>
    <t>KE</t>
  </si>
  <si>
    <t>Činnosti domácností jako zaměstnavatelů domácího personálu</t>
  </si>
  <si>
    <t>JIČÍN</t>
  </si>
  <si>
    <t>Republika Kiribati</t>
  </si>
  <si>
    <t>KI</t>
  </si>
  <si>
    <t>Činnosti domác.produk.blíže neurčené výrobky a služby pro vlast.potřebu</t>
  </si>
  <si>
    <t>KOSTELEC NAD ORLICÍ</t>
  </si>
  <si>
    <t>Území Kokosové (Keelingovy) ostrovy</t>
  </si>
  <si>
    <t>CC</t>
  </si>
  <si>
    <t>Činnosti exteritoriálních organizací a orgánů</t>
  </si>
  <si>
    <t>NÁCHOD</t>
  </si>
  <si>
    <t>Kolumbijská republika</t>
  </si>
  <si>
    <t>CO</t>
  </si>
  <si>
    <t>Podpůrné činnosti při ostatní těžbě a dobývání</t>
  </si>
  <si>
    <t>NOVÁ PAKA</t>
  </si>
  <si>
    <t>Komorský svaz</t>
  </si>
  <si>
    <t>KM</t>
  </si>
  <si>
    <t>Zpracování a konzervování masa a výroba masných výrobků</t>
  </si>
  <si>
    <t>NOVÝ BYDŽOV</t>
  </si>
  <si>
    <t>Konžská republika</t>
  </si>
  <si>
    <t>CG</t>
  </si>
  <si>
    <t>Zpracování a konzervování ryb, korýšů a měkkýšů</t>
  </si>
  <si>
    <t>RYCHNOV NAD KNĚŽ.</t>
  </si>
  <si>
    <t>Korejská lidově demokratická republika</t>
  </si>
  <si>
    <t>KP</t>
  </si>
  <si>
    <t>Zpracování a konzervování ovoce a zeleniny</t>
  </si>
  <si>
    <t>TRUTNOV</t>
  </si>
  <si>
    <t>Korejská republika</t>
  </si>
  <si>
    <t>KR</t>
  </si>
  <si>
    <t>Výroba rostlinných a živočišných olejů a tuků</t>
  </si>
  <si>
    <t>VRCHLABÍ</t>
  </si>
  <si>
    <t>Kosovská republika</t>
  </si>
  <si>
    <t>XK</t>
  </si>
  <si>
    <t>Výroba mléčných výrobků</t>
  </si>
  <si>
    <t>PARDUBICE</t>
  </si>
  <si>
    <t>Kostarická republika</t>
  </si>
  <si>
    <t>CR</t>
  </si>
  <si>
    <t>Výroba mlýnských a škrobárenských výrobků</t>
  </si>
  <si>
    <t>HLINSKO</t>
  </si>
  <si>
    <t>Kubánská republika</t>
  </si>
  <si>
    <t>CU</t>
  </si>
  <si>
    <t>Výroba pekařských, cukrářských a jiných moučných výrobků</t>
  </si>
  <si>
    <t>HOLICE</t>
  </si>
  <si>
    <t>Kuvajtský stát</t>
  </si>
  <si>
    <t>KW</t>
  </si>
  <si>
    <t>Výroba ostatních potravinářských výrobků</t>
  </si>
  <si>
    <t>CHRUDIM</t>
  </si>
  <si>
    <t>Kyperská republika</t>
  </si>
  <si>
    <t>CY</t>
  </si>
  <si>
    <t>Výroba průmyslových krmiv</t>
  </si>
  <si>
    <t>LITOMYŠL</t>
  </si>
  <si>
    <t>Kyrgyzská republika</t>
  </si>
  <si>
    <t>KG</t>
  </si>
  <si>
    <t>Pěstování obilovin (kromě rýže), luštěnin a olejnatých semen</t>
  </si>
  <si>
    <t>MORAVSKÁ TŘEBOVÁ</t>
  </si>
  <si>
    <t>Laoská lidově demokratická republika</t>
  </si>
  <si>
    <t>LA</t>
  </si>
  <si>
    <t>Pěstování rýže</t>
  </si>
  <si>
    <t>PŘELOUČ</t>
  </si>
  <si>
    <t>Lesothské království</t>
  </si>
  <si>
    <t>LS</t>
  </si>
  <si>
    <t>Pěstování zeleniny a melounů, kořenů a hlíz</t>
  </si>
  <si>
    <t>SVITAVY</t>
  </si>
  <si>
    <t>Libanonská republika</t>
  </si>
  <si>
    <t>LB</t>
  </si>
  <si>
    <t>Pěstování tabáku</t>
  </si>
  <si>
    <t>ÚSTÍ NAD ORLICÍ</t>
  </si>
  <si>
    <t>Liberijská republika</t>
  </si>
  <si>
    <t>LR</t>
  </si>
  <si>
    <t>Pěstování přadných rostlin</t>
  </si>
  <si>
    <t>VYSOKÉ MÝTO</t>
  </si>
  <si>
    <t>Libyjský stát</t>
  </si>
  <si>
    <t>LY</t>
  </si>
  <si>
    <t>Pěstování ostatních plodin jiných než trvalých</t>
  </si>
  <si>
    <t>ŽAMBERK</t>
  </si>
  <si>
    <t>Lichtenštejnské knížectví</t>
  </si>
  <si>
    <t>LI</t>
  </si>
  <si>
    <t>Pěstování vinných hroznů</t>
  </si>
  <si>
    <t>JIHLAVA</t>
  </si>
  <si>
    <t>Litevská republika</t>
  </si>
  <si>
    <t>LT</t>
  </si>
  <si>
    <t>Pěstování tropického a subtropického ovoce</t>
  </si>
  <si>
    <t>BYSTŘICE NAD PERN.</t>
  </si>
  <si>
    <t>Lotyšská republika</t>
  </si>
  <si>
    <t>LV</t>
  </si>
  <si>
    <t>Pěstování citrusových plodů</t>
  </si>
  <si>
    <t>HAVLÍČKŮV BROD</t>
  </si>
  <si>
    <t>Lucemburské velkovévodství</t>
  </si>
  <si>
    <t>LU</t>
  </si>
  <si>
    <t>Pěstování jádrového a peckového ovoce</t>
  </si>
  <si>
    <t>HUMPOLEC</t>
  </si>
  <si>
    <t>Zvláštní administrativní oblast Čínské lidové republiky Macao</t>
  </si>
  <si>
    <t>MO</t>
  </si>
  <si>
    <t>Pěstování ostatního stromového a keřového ovoce a ořechů</t>
  </si>
  <si>
    <t>CHOTĚBOŘ</t>
  </si>
  <si>
    <t>Madagaskarská republika</t>
  </si>
  <si>
    <t>MG</t>
  </si>
  <si>
    <t>Pěstování olejnatých plodů</t>
  </si>
  <si>
    <t>LEDEČ NAD SÁZAVOU</t>
  </si>
  <si>
    <t>Maďarsko</t>
  </si>
  <si>
    <t>HU</t>
  </si>
  <si>
    <t>Pěstování rostlin pro výrobu nápojů</t>
  </si>
  <si>
    <t>MORAVSKÉ BUDĚJOVICE</t>
  </si>
  <si>
    <t>Bývalá jugoslávská republika Makedonie</t>
  </si>
  <si>
    <t>MK</t>
  </si>
  <si>
    <t>Pěstování koření, aromatických, léčivých a farmaceutických rostlin</t>
  </si>
  <si>
    <t>NÁMĚŠŤ NAD OSLAVOU</t>
  </si>
  <si>
    <t>Malajsie</t>
  </si>
  <si>
    <t>MY</t>
  </si>
  <si>
    <t>Pěstování ostatních trvalých plodin</t>
  </si>
  <si>
    <t>PACOV</t>
  </si>
  <si>
    <t>Malawiská republika</t>
  </si>
  <si>
    <t>MW</t>
  </si>
  <si>
    <t>Úprava a spřádání textilních vláken a příze</t>
  </si>
  <si>
    <t>PELHŘIMOV</t>
  </si>
  <si>
    <t>Maledivská republika</t>
  </si>
  <si>
    <t>MV</t>
  </si>
  <si>
    <t>Tkaní textilií</t>
  </si>
  <si>
    <t>TELČ</t>
  </si>
  <si>
    <t>Republika Mali</t>
  </si>
  <si>
    <t>ML</t>
  </si>
  <si>
    <t>Konečná úprava textilií</t>
  </si>
  <si>
    <t>TŘEBÍČ</t>
  </si>
  <si>
    <t>Maltská republika</t>
  </si>
  <si>
    <t>MT</t>
  </si>
  <si>
    <t>Výroba ostatních textilií</t>
  </si>
  <si>
    <t>VELKÉ MEZIŘÍČÍ</t>
  </si>
  <si>
    <t>Ostrov Man</t>
  </si>
  <si>
    <t>IM</t>
  </si>
  <si>
    <t>Pěstování cukrové třtiny</t>
  </si>
  <si>
    <t>ŽĎÁR NAD SÁZAVOU</t>
  </si>
  <si>
    <t>Marocké království</t>
  </si>
  <si>
    <t>MA</t>
  </si>
  <si>
    <t>Výroba oděvů, kromě kožešinových výrobků</t>
  </si>
  <si>
    <t>BRNO I</t>
  </si>
  <si>
    <t>Republika Marshallovy ostrovy</t>
  </si>
  <si>
    <t>MH</t>
  </si>
  <si>
    <t>Chov mléčného skotu</t>
  </si>
  <si>
    <t>BRNO II</t>
  </si>
  <si>
    <t>Region Martinik</t>
  </si>
  <si>
    <t>MQ</t>
  </si>
  <si>
    <t>Výroba kožešinových výrobků</t>
  </si>
  <si>
    <t>BRNO III</t>
  </si>
  <si>
    <t>Mauricijská republika</t>
  </si>
  <si>
    <t>MU</t>
  </si>
  <si>
    <t>Chov jiného skotu</t>
  </si>
  <si>
    <t>BRNO IV</t>
  </si>
  <si>
    <t>Mauritánská islámská republika</t>
  </si>
  <si>
    <t>MR</t>
  </si>
  <si>
    <t>Výroba pletených a háčkovaných oděvů</t>
  </si>
  <si>
    <t>BRNO VENKOV</t>
  </si>
  <si>
    <t>Departementní společenství Mayotte</t>
  </si>
  <si>
    <t>YT</t>
  </si>
  <si>
    <t>Chov koní a jiných koňovitých</t>
  </si>
  <si>
    <t>BLANSKO</t>
  </si>
  <si>
    <t>Menší odlehlé ostrovy USA</t>
  </si>
  <si>
    <t>UM</t>
  </si>
  <si>
    <t>Chov velbloudů a velbloudovitých</t>
  </si>
  <si>
    <t>BOSKOVICE</t>
  </si>
  <si>
    <t>Spojené státy mexické</t>
  </si>
  <si>
    <t>MX</t>
  </si>
  <si>
    <t>Chov ovcí a koz</t>
  </si>
  <si>
    <t>BŘECLAV</t>
  </si>
  <si>
    <t>Federativní státy Mikronésie</t>
  </si>
  <si>
    <t>FM</t>
  </si>
  <si>
    <t>Chov prasat</t>
  </si>
  <si>
    <t>BUČOVICE</t>
  </si>
  <si>
    <t>Moldavská republika</t>
  </si>
  <si>
    <t>MD</t>
  </si>
  <si>
    <t>Chov drůbeže</t>
  </si>
  <si>
    <t>HODONÍN</t>
  </si>
  <si>
    <t>Monacké knížectví</t>
  </si>
  <si>
    <t>MC</t>
  </si>
  <si>
    <t>Chov ostatních zvířat</t>
  </si>
  <si>
    <t>HUSTOPEČE</t>
  </si>
  <si>
    <t>Mongolsko</t>
  </si>
  <si>
    <t>MN</t>
  </si>
  <si>
    <t>Činění a úprava usní (vyčiněných kůží); zpracování a barvení kožešin; výrob</t>
  </si>
  <si>
    <t>IVANČICE</t>
  </si>
  <si>
    <t>Montserrat</t>
  </si>
  <si>
    <t>MS</t>
  </si>
  <si>
    <t>Výroba obuvi</t>
  </si>
  <si>
    <t>KYJOV</t>
  </si>
  <si>
    <t>Mosambická republika</t>
  </si>
  <si>
    <t>MZ</t>
  </si>
  <si>
    <t>Výroba pilařská a impregnace dřeva</t>
  </si>
  <si>
    <t>MIKULOV</t>
  </si>
  <si>
    <t>Republika Myanmarský svaz</t>
  </si>
  <si>
    <t>MM</t>
  </si>
  <si>
    <t>Podpůrné činnosti pro rostlinnou výrobu</t>
  </si>
  <si>
    <t>MORAVSKÝ KRUMLOV</t>
  </si>
  <si>
    <t>Namibijská republika</t>
  </si>
  <si>
    <t>NA</t>
  </si>
  <si>
    <t>Výroba dřevěných,korkových,proutěných a slaměných výrobků,kromě nábytku</t>
  </si>
  <si>
    <t>SLAVKOV U BRNA</t>
  </si>
  <si>
    <t>Republika Nauru</t>
  </si>
  <si>
    <t>NR</t>
  </si>
  <si>
    <t>Podpůrné činnosti pro živočišnou výrobu</t>
  </si>
  <si>
    <t>TIŠNOV</t>
  </si>
  <si>
    <t>Spolková republika Německo</t>
  </si>
  <si>
    <t>DE</t>
  </si>
  <si>
    <t>Posklizňové činnosti</t>
  </si>
  <si>
    <t>VESELÍ NAD MORAVOU</t>
  </si>
  <si>
    <t>Nepálská federativní demokratická republika</t>
  </si>
  <si>
    <t>NP</t>
  </si>
  <si>
    <t>Zpracování osiva pro účely množení</t>
  </si>
  <si>
    <t>VYŠKOV</t>
  </si>
  <si>
    <t>Nigerská republika</t>
  </si>
  <si>
    <t>NE</t>
  </si>
  <si>
    <t>Výroba buničiny, papíru a lepenky</t>
  </si>
  <si>
    <t>ZNOJMO</t>
  </si>
  <si>
    <t>Nigerijská federativní republika</t>
  </si>
  <si>
    <t>NG</t>
  </si>
  <si>
    <t>Výroba výrobků z papíru a lepenky</t>
  </si>
  <si>
    <t>OLOMOUC</t>
  </si>
  <si>
    <t>Nikaragujská republika</t>
  </si>
  <si>
    <t>NI</t>
  </si>
  <si>
    <t>Tisk a činnosti související s tiskem</t>
  </si>
  <si>
    <t>HRANICE</t>
  </si>
  <si>
    <t>Niue</t>
  </si>
  <si>
    <t>NU</t>
  </si>
  <si>
    <t>Rozmnožování nahraných nosičů</t>
  </si>
  <si>
    <t>JESENÍK</t>
  </si>
  <si>
    <t>Nizozemsko</t>
  </si>
  <si>
    <t>NL</t>
  </si>
  <si>
    <t>Výroba koksárenských produktů</t>
  </si>
  <si>
    <t>KONICE</t>
  </si>
  <si>
    <t>Území Norfolk</t>
  </si>
  <si>
    <t>NF</t>
  </si>
  <si>
    <t>Výroba rafinovaných ropných produktů</t>
  </si>
  <si>
    <t>LITOVEL</t>
  </si>
  <si>
    <t>Norské království</t>
  </si>
  <si>
    <t>NO</t>
  </si>
  <si>
    <t>Výroba zákl.chem.látek,hnojiv a dusík.sl.,plastů a synt.kaučuku v prim.f.</t>
  </si>
  <si>
    <t>PROSTĚJOV</t>
  </si>
  <si>
    <t>Nová Kaledonie</t>
  </si>
  <si>
    <t>NC</t>
  </si>
  <si>
    <t>Výroba pesticidů a jiných agrochemických přípravků</t>
  </si>
  <si>
    <t>PŘEROV</t>
  </si>
  <si>
    <t>Nový Zéland</t>
  </si>
  <si>
    <t>NZ</t>
  </si>
  <si>
    <t>Výroba nátěr.barev,laků a jiných nátěrových mater.,tisk.barev a tmelů</t>
  </si>
  <si>
    <t>ŠTERNBERK</t>
  </si>
  <si>
    <t>Sultanát Omán</t>
  </si>
  <si>
    <t>OM</t>
  </si>
  <si>
    <t>Výroba mýdel a detergentů,čist.a lešticích prostř.,parfémů a toal. přípr.</t>
  </si>
  <si>
    <t>ŠUMPERK</t>
  </si>
  <si>
    <t>Pákistánská islámská republika</t>
  </si>
  <si>
    <t>PK</t>
  </si>
  <si>
    <t>Výroba ostatních chemických výrobků</t>
  </si>
  <si>
    <t>ZÁBŘEH</t>
  </si>
  <si>
    <t>Republika Palau</t>
  </si>
  <si>
    <t>PW</t>
  </si>
  <si>
    <t>Výroba chemických vláken</t>
  </si>
  <si>
    <t>OSTRAVA I</t>
  </si>
  <si>
    <t>Palestinská autonomní území</t>
  </si>
  <si>
    <t>PS</t>
  </si>
  <si>
    <t>Výroba základních farmaceutických výrobků</t>
  </si>
  <si>
    <t>OSTRAVA II</t>
  </si>
  <si>
    <t>Panamská republika</t>
  </si>
  <si>
    <t>PA</t>
  </si>
  <si>
    <t>Výroba farmaceutických přípravků</t>
  </si>
  <si>
    <t>OSTRAVA III</t>
  </si>
  <si>
    <t>Nezávislý stát Papua Nová Guinea</t>
  </si>
  <si>
    <t>PG</t>
  </si>
  <si>
    <t>Výroba pryžových výrobků</t>
  </si>
  <si>
    <t>BOHUMÍN</t>
  </si>
  <si>
    <t>Paraguayská republika</t>
  </si>
  <si>
    <t>PY</t>
  </si>
  <si>
    <t>Výroba plastových výrobků</t>
  </si>
  <si>
    <t>BRUNTÁL</t>
  </si>
  <si>
    <t>Peruánská republika</t>
  </si>
  <si>
    <t>PE</t>
  </si>
  <si>
    <t>Výroba skla a skleněných výrobků</t>
  </si>
  <si>
    <t>ČESKÝ TĚŠÍN</t>
  </si>
  <si>
    <t>Pitcairnovy ostrovy</t>
  </si>
  <si>
    <t>PN</t>
  </si>
  <si>
    <t>Výroba žáruvzdorných výrobků</t>
  </si>
  <si>
    <t>FRÝDEK-MÍSTEK</t>
  </si>
  <si>
    <t>Republika Pobřeží slonoviny</t>
  </si>
  <si>
    <t>CI</t>
  </si>
  <si>
    <t>Výroba stavebních výrobků z jílovitých materiálů</t>
  </si>
  <si>
    <t>FRÝDLANT NAD OSTRAV.</t>
  </si>
  <si>
    <t>Polská republika</t>
  </si>
  <si>
    <t>PL</t>
  </si>
  <si>
    <t>Výroba ostatních porcelánových a keramických výrobků</t>
  </si>
  <si>
    <t>FULNEK</t>
  </si>
  <si>
    <t>Portorické společenství</t>
  </si>
  <si>
    <t>PR</t>
  </si>
  <si>
    <t>Výroba cementu, vápna a sádry</t>
  </si>
  <si>
    <t>HAVÍŘOV</t>
  </si>
  <si>
    <t>Portugalská republika</t>
  </si>
  <si>
    <t>PT</t>
  </si>
  <si>
    <t>Výroba betonových, cementových a sádrových výrobků</t>
  </si>
  <si>
    <t>HLUČÍN</t>
  </si>
  <si>
    <t>Rakouská republika</t>
  </si>
  <si>
    <t>AT</t>
  </si>
  <si>
    <t>Řezání, tvarování a konečná úprava kamenů</t>
  </si>
  <si>
    <t>KARVINÁ</t>
  </si>
  <si>
    <t>Region Réunion</t>
  </si>
  <si>
    <t>RE</t>
  </si>
  <si>
    <t>Výroba brusiv a ostatních nekovových minerálních výrobků j. n.</t>
  </si>
  <si>
    <t>KOPŘIVNICE</t>
  </si>
  <si>
    <t>Republika Rovníková Guinea</t>
  </si>
  <si>
    <t>GQ</t>
  </si>
  <si>
    <t>Výroba sur.železa,oceli a feroslitin,ploch.výr.,tváření výrobků za tepla</t>
  </si>
  <si>
    <t>KRNOV</t>
  </si>
  <si>
    <t>Rumunsko</t>
  </si>
  <si>
    <t>RO</t>
  </si>
  <si>
    <t>Výroba ocelových trub,trubek,dutých profilů a souvis.potrubních tvarovek</t>
  </si>
  <si>
    <t>NOVÝ JIČÍN</t>
  </si>
  <si>
    <t>Ruská federace</t>
  </si>
  <si>
    <t>RU</t>
  </si>
  <si>
    <t>Výroba ostatních výrobků získaných jednostupňovým zpracováním oceli</t>
  </si>
  <si>
    <t>OPAVA</t>
  </si>
  <si>
    <t>Rwandská republika</t>
  </si>
  <si>
    <t>RW</t>
  </si>
  <si>
    <t>Výroba a hutní zpracování drahých a neželezných kovů</t>
  </si>
  <si>
    <t>ORLOVÁ</t>
  </si>
  <si>
    <t>Řecká republika</t>
  </si>
  <si>
    <t>GR</t>
  </si>
  <si>
    <t>Slévárenství</t>
  </si>
  <si>
    <t>TŘINEC</t>
  </si>
  <si>
    <t>Územní společenství Saint Pierre a Miquelon</t>
  </si>
  <si>
    <t>PM</t>
  </si>
  <si>
    <t>Výroba konstrukčních kovových výrobků</t>
  </si>
  <si>
    <t>ZLÍN</t>
  </si>
  <si>
    <t>Salvadorská republika</t>
  </si>
  <si>
    <t>SV</t>
  </si>
  <si>
    <t>Výroba radiátorů a kotlů k ústřednímu topení, kovových nádrží a zásobníků</t>
  </si>
  <si>
    <t>BYSTŘICE POD HOSTÝNEM</t>
  </si>
  <si>
    <t>Nezávislý stát Samoa</t>
  </si>
  <si>
    <t>WS</t>
  </si>
  <si>
    <t>Výroba parních kotlů, kromě kotlů pro ústřední topení</t>
  </si>
  <si>
    <t>HOLEŠOV</t>
  </si>
  <si>
    <t>Republika San Marino</t>
  </si>
  <si>
    <t>SM</t>
  </si>
  <si>
    <t>Výroba zbraní a střeliva</t>
  </si>
  <si>
    <t>KROMĚŘÍŽ</t>
  </si>
  <si>
    <t>Království Saúdská Arábie</t>
  </si>
  <si>
    <t>SA</t>
  </si>
  <si>
    <t>Kování,lisování,ražení,válcování a protlačování kovů;prášková metalurgie</t>
  </si>
  <si>
    <t>LUHAČOVICE</t>
  </si>
  <si>
    <t>Senegalská republika</t>
  </si>
  <si>
    <t>SN</t>
  </si>
  <si>
    <t>Povrchová úprava a zušlechťování kovů; obrábění</t>
  </si>
  <si>
    <t>OTROKOVICE</t>
  </si>
  <si>
    <t>Společenství Severní Mariany</t>
  </si>
  <si>
    <t>MP</t>
  </si>
  <si>
    <t>Výroba nožířských výrobků, nástrojů a železářských výrobků</t>
  </si>
  <si>
    <t>ROŽNOV POD RADH.</t>
  </si>
  <si>
    <t>Seychelská republika</t>
  </si>
  <si>
    <t>SC</t>
  </si>
  <si>
    <t>Výroba ostatních kovodělných výrobků</t>
  </si>
  <si>
    <t>UHERSKÝ BROD</t>
  </si>
  <si>
    <t>Republika Sierra Leone</t>
  </si>
  <si>
    <t>SL</t>
  </si>
  <si>
    <t>Výroba elektronických součástek a desek</t>
  </si>
  <si>
    <t>UHERSKÉ HRADIŠTĚ</t>
  </si>
  <si>
    <t>Singapurská republika</t>
  </si>
  <si>
    <t>SG</t>
  </si>
  <si>
    <t>Výroba počítačů a periferních zařízení</t>
  </si>
  <si>
    <t>VALAŠSKÉ MEZIŘÍČÍ</t>
  </si>
  <si>
    <t>Slovenská republika</t>
  </si>
  <si>
    <t>SK</t>
  </si>
  <si>
    <t>Výroba komunikačních zařízení</t>
  </si>
  <si>
    <t>VALAŠSKÉ KLOBOUKY</t>
  </si>
  <si>
    <t>Slovinská republika</t>
  </si>
  <si>
    <t>SI</t>
  </si>
  <si>
    <t>Výroba spotřební elektroniky</t>
  </si>
  <si>
    <t>VSETÍN</t>
  </si>
  <si>
    <t>Somálská federativní republika</t>
  </si>
  <si>
    <t>SO</t>
  </si>
  <si>
    <t>Výroba měřicích,zkušebních a navigačních přístrojů;výroba časoměr.přístrojů</t>
  </si>
  <si>
    <t>Stát Spojené arabské emiráty</t>
  </si>
  <si>
    <t>AE</t>
  </si>
  <si>
    <t>Výroba ozařovacích, elektroléčebných a elektroterapeutických přístrojů</t>
  </si>
  <si>
    <t>Spojené státy americké</t>
  </si>
  <si>
    <t>US</t>
  </si>
  <si>
    <t>Výroba optických a fotografických přístrojů a zařízení</t>
  </si>
  <si>
    <t>Srbská republika</t>
  </si>
  <si>
    <t>RS</t>
  </si>
  <si>
    <t>Výroba magnetických a optických médií</t>
  </si>
  <si>
    <t>Středoafrická republika</t>
  </si>
  <si>
    <t>CF</t>
  </si>
  <si>
    <t>Výroba elektr.motorů,generátorů,transformátorů a elektr.rozvod.a kontrol.z.</t>
  </si>
  <si>
    <t>Súdánská republika</t>
  </si>
  <si>
    <t>SD</t>
  </si>
  <si>
    <t>Výroba baterií a akumulátorů</t>
  </si>
  <si>
    <t>Surinamská republika</t>
  </si>
  <si>
    <t>SR</t>
  </si>
  <si>
    <t>Výroba optických a elektr.kabelů,elektr.vodičů a elektroinstal.zařízení</t>
  </si>
  <si>
    <t>Svatá Helena, Ascension a Tristan da Cunha</t>
  </si>
  <si>
    <t>SH</t>
  </si>
  <si>
    <t>Výroba elektrických osvětlovacích zařízení</t>
  </si>
  <si>
    <t>Svatá Lucie</t>
  </si>
  <si>
    <t>LC</t>
  </si>
  <si>
    <t>Výroba spotřebičů převážně pro domácnost</t>
  </si>
  <si>
    <t>Společenství Svatý Bartoloměj</t>
  </si>
  <si>
    <t>BL</t>
  </si>
  <si>
    <t>Výroba ostatních elektrických zařízení</t>
  </si>
  <si>
    <t>Federace Svatý Kryštof a Nevis</t>
  </si>
  <si>
    <t>KN</t>
  </si>
  <si>
    <t>Výroba strojů a zařízení pro všeobecné účely</t>
  </si>
  <si>
    <t>Společenství Svatý Martin</t>
  </si>
  <si>
    <t>MF</t>
  </si>
  <si>
    <t>Výroba ostatních strojů a zařízení pro všeobecné účely</t>
  </si>
  <si>
    <t>Svatý Martin (NL)</t>
  </si>
  <si>
    <t>SX</t>
  </si>
  <si>
    <t>Výroba zemědělských a lesnických strojů</t>
  </si>
  <si>
    <t>Demokratická republika Svatý Tomáš a Princův ostrov</t>
  </si>
  <si>
    <t>ST</t>
  </si>
  <si>
    <t>Výroba kovoobráběcích a ostatních obráběcích strojů</t>
  </si>
  <si>
    <t>Svatý Vincenc a Grenadiny</t>
  </si>
  <si>
    <t>VC</t>
  </si>
  <si>
    <t>Výroba ostatních strojů pro speciální účely</t>
  </si>
  <si>
    <t>Svazijské království</t>
  </si>
  <si>
    <t>SZ</t>
  </si>
  <si>
    <t>Výroba motorových vozidel a jejich motorů</t>
  </si>
  <si>
    <t>Syrská arabská republika</t>
  </si>
  <si>
    <t>SY</t>
  </si>
  <si>
    <t>Výroba karoserií motorových vozidel; výroba přívěsů a návěsů</t>
  </si>
  <si>
    <t>Šalomounovy ostrovy</t>
  </si>
  <si>
    <t>SB</t>
  </si>
  <si>
    <t>Výroba dílů a příslušenství pro motorová vozidla a jejich motory</t>
  </si>
  <si>
    <t>Španělské království</t>
  </si>
  <si>
    <t>ES</t>
  </si>
  <si>
    <t>Stavba lodí a člunů</t>
  </si>
  <si>
    <t>Špicberky a Jan Mayen</t>
  </si>
  <si>
    <t>SJ</t>
  </si>
  <si>
    <t>Výroba železničních lokomotiv a vozového parku</t>
  </si>
  <si>
    <t>Šrílanská demokratická socialistická republika</t>
  </si>
  <si>
    <t>LK</t>
  </si>
  <si>
    <t>Výroba letadel a jejich motorů,kosmických lodí a souvisejících zařízení</t>
  </si>
  <si>
    <t>Švédské království</t>
  </si>
  <si>
    <t>SE</t>
  </si>
  <si>
    <t>Výroba vojenských bojových vozidel</t>
  </si>
  <si>
    <t>Švýcarská konfederace</t>
  </si>
  <si>
    <t>CH</t>
  </si>
  <si>
    <t>Výroba dopravních prostředků a zařízení j. n.</t>
  </si>
  <si>
    <t>Republika Tádžikistán</t>
  </si>
  <si>
    <t>TJ</t>
  </si>
  <si>
    <t>Mořský rybolov</t>
  </si>
  <si>
    <t>Tanzanská sjednocená republika</t>
  </si>
  <si>
    <t>TZ</t>
  </si>
  <si>
    <t>Sladkovodní rybolov</t>
  </si>
  <si>
    <t>Thajské království</t>
  </si>
  <si>
    <t>TH</t>
  </si>
  <si>
    <t>Výroba klenotů, bižuterie a příbuzných výrobků</t>
  </si>
  <si>
    <t>Čínská republika (Tchaj-wan)</t>
  </si>
  <si>
    <t>TW</t>
  </si>
  <si>
    <t>Mořská akvakultura</t>
  </si>
  <si>
    <t>Tožská republika</t>
  </si>
  <si>
    <t>TG</t>
  </si>
  <si>
    <t>Výroba hudebních nástrojů</t>
  </si>
  <si>
    <t>Tokelau</t>
  </si>
  <si>
    <t>TK</t>
  </si>
  <si>
    <t>Sladkovodní akvakultura</t>
  </si>
  <si>
    <t>Království Tonga</t>
  </si>
  <si>
    <t>TO</t>
  </si>
  <si>
    <t>Výroba sportovních potřeb</t>
  </si>
  <si>
    <t>Republika Trinidad a Tobago</t>
  </si>
  <si>
    <t>TT</t>
  </si>
  <si>
    <t>Výroba her a hraček</t>
  </si>
  <si>
    <t>Tuniská republika</t>
  </si>
  <si>
    <t>TN</t>
  </si>
  <si>
    <t>Výroba lékařských a dentálních nástrojů a potřeb</t>
  </si>
  <si>
    <t>Turecká republika</t>
  </si>
  <si>
    <t>TR</t>
  </si>
  <si>
    <t>Zpracovatelský průmysl j. n.</t>
  </si>
  <si>
    <t>Turkmenistán</t>
  </si>
  <si>
    <t>TM</t>
  </si>
  <si>
    <t>Opravy kovodělných výrobků, strojů a zařízení</t>
  </si>
  <si>
    <t>Ostrovy Turks a Caicos</t>
  </si>
  <si>
    <t>TC</t>
  </si>
  <si>
    <t>Instalace průmyslových strojů a zařízení</t>
  </si>
  <si>
    <t>Tuvalu</t>
  </si>
  <si>
    <t>TV</t>
  </si>
  <si>
    <t>Výroba, přenos a rozvod elektřiny</t>
  </si>
  <si>
    <t>Ugandská republika</t>
  </si>
  <si>
    <t>UG</t>
  </si>
  <si>
    <t>Výroba plynu; rozvod plynných paliv prostřednictvím sítí</t>
  </si>
  <si>
    <t>Ukrajina</t>
  </si>
  <si>
    <t>UA</t>
  </si>
  <si>
    <t>Výroba a rozvod tepla a klimatizovaného vzduchu, výroba ledu</t>
  </si>
  <si>
    <t>Uruguayská východní republika</t>
  </si>
  <si>
    <t>UY</t>
  </si>
  <si>
    <t>Shromažďování a sběr odpadů</t>
  </si>
  <si>
    <t>Republika Uzbekistán</t>
  </si>
  <si>
    <t>UZ</t>
  </si>
  <si>
    <t>Odstraňování odpadů</t>
  </si>
  <si>
    <t>Území Vánoční ostrov</t>
  </si>
  <si>
    <t>CX</t>
  </si>
  <si>
    <t>Úprava odpadů k dalšímu využití</t>
  </si>
  <si>
    <t>Republika Vanuatu</t>
  </si>
  <si>
    <t>VU</t>
  </si>
  <si>
    <t>Developerská činnost</t>
  </si>
  <si>
    <t>Vatikánský městský stát</t>
  </si>
  <si>
    <t>VA</t>
  </si>
  <si>
    <t>Výstavba bytových a nebytových budov</t>
  </si>
  <si>
    <t>Spojené království Velké Británie a Severního Irska</t>
  </si>
  <si>
    <t>GB</t>
  </si>
  <si>
    <t>Výstavba silnic a železnic</t>
  </si>
  <si>
    <t>Bolívarovská republika Venezuela</t>
  </si>
  <si>
    <t>VE</t>
  </si>
  <si>
    <t>Výstavba inženýrských sítí</t>
  </si>
  <si>
    <t>Vietnamská socialistická republika</t>
  </si>
  <si>
    <t>VN</t>
  </si>
  <si>
    <t>Výstavba ostatních staveb</t>
  </si>
  <si>
    <t>Demokratická republika Východní Timor</t>
  </si>
  <si>
    <t>TL</t>
  </si>
  <si>
    <t>Demolice a příprava staveniště</t>
  </si>
  <si>
    <t>Teritorium Wallisovy ostrovy a Futuna</t>
  </si>
  <si>
    <t>WF</t>
  </si>
  <si>
    <t>Elektroinstalační, instalatérské a ostatní stavebně instalační práce</t>
  </si>
  <si>
    <t>Zambijská republika</t>
  </si>
  <si>
    <t>ZM</t>
  </si>
  <si>
    <t>Kompletační a dokončovací práce</t>
  </si>
  <si>
    <t>Saharská arabská demokratická republika</t>
  </si>
  <si>
    <t>EH</t>
  </si>
  <si>
    <t>Ostatní specializované stavební činnosti</t>
  </si>
  <si>
    <t>Zimbabwská republika</t>
  </si>
  <si>
    <t>ZW</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</si>
  <si>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</si>
  <si>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</si>
  <si>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</si>
  <si>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</si>
  <si>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</si>
  <si>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</si>
  <si>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</si>
  <si>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</si>
  <si>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</si>
  <si>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</si>
  <si>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</si>
  <si>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</si>
  <si>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</si>
  <si>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</si>
  <si>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</si>
  <si>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</si>
  <si>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</si>
  <si>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</si>
  <si>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</si>
  <si>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</si>
  <si>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</si>
  <si>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</si>
  <si>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</si>
  <si>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</si>
  <si>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</si>
  <si>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</si>
  <si>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</si>
  <si>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</si>
  <si>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</si>
  <si>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</si>
  <si>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</si>
  <si>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</si>
  <si>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</si>
  <si>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</si>
  <si>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</si>
  <si>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</si>
  <si>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</si>
  <si>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</si>
  <si>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</si>
  <si>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</si>
  <si>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</si>
  <si>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</si>
  <si>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</si>
  <si>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</si>
  <si>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</si>
  <si>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</si>
  <si>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</si>
  <si>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</si>
  <si>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</si>
  <si>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</si>
  <si>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</si>
  <si>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</si>
  <si>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</si>
  <si>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</si>
  <si>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</si>
  <si>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</si>
  <si>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</si>
  <si>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</si>
  <si>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</si>
  <si>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</si>
  <si>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</si>
  <si>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</si>
  <si>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</si>
  <si>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</si>
  <si>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</si>
  <si>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</si>
  <si>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</si>
  <si>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</si>
  <si>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</si>
  <si>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</si>
  <si>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</si>
  <si>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</si>
  <si>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</si>
  <si>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</si>
  <si>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Těžba a úprava uranových a thoriových rud</t>
  </si>
  <si>
    <t>Výzkum a vývoj v oblasti společenských a humanitních věd</t>
  </si>
  <si>
    <t>Těžba a úprava ostatních neželezných rud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</si>
  <si>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</si>
  <si>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</si>
  <si>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</si>
  <si>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</si>
  <si>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</si>
  <si>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</si>
  <si>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</si>
  <si>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</si>
  <si>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</si>
  <si>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</si>
  <si>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</si>
  <si>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</si>
  <si>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</si>
  <si>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</si>
  <si>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</si>
  <si>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</si>
  <si>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</si>
  <si>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</si>
  <si>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</si>
  <si>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Dobývání kamene pro výtv.nebo stav.účely,vápence,sádrovce,křídy,břidl.</t>
  </si>
  <si>
    <t>Úklidové činnosti</t>
  </si>
  <si>
    <t>Provoz pískoven a štěrkopískoven; těžba jílů a kaolinu</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</si>
  <si>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</si>
  <si>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</si>
  <si>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</si>
  <si>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</si>
  <si>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</si>
  <si>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</si>
  <si>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</si>
  <si>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</si>
  <si>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</si>
  <si>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</si>
  <si>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</si>
  <si>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</si>
  <si>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</si>
  <si>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</si>
  <si>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</si>
  <si>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</si>
  <si>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</si>
  <si>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</si>
  <si>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</si>
  <si>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</si>
  <si>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</si>
  <si>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</si>
  <si>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</si>
  <si>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</si>
  <si>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Těžba chemických minerálů a minerálů pro výrobu hnojiv</t>
  </si>
  <si>
    <t>Těžba rašeliny</t>
  </si>
  <si>
    <t>Těžba soli</t>
  </si>
  <si>
    <t>Ostatní těžba a dobývání j. n.</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</si>
  <si>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</si>
  <si>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</si>
  <si>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</si>
  <si>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</si>
  <si>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</si>
  <si>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</si>
  <si>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</si>
  <si>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</si>
  <si>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</si>
  <si>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</si>
  <si>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</si>
  <si>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</si>
  <si>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</si>
  <si>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</si>
  <si>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</si>
  <si>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</si>
  <si>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</si>
  <si>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</si>
  <si>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</si>
  <si>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</si>
  <si>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</si>
  <si>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</si>
  <si>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</si>
  <si>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</si>
  <si>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</si>
  <si>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</si>
  <si>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</si>
  <si>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</si>
  <si>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</si>
  <si>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</si>
  <si>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</si>
  <si>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</si>
  <si>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</si>
  <si>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</si>
  <si>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</si>
  <si>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</si>
  <si>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</si>
  <si>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</si>
  <si>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</si>
  <si>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</si>
  <si>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</si>
  <si>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</si>
  <si>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</si>
  <si>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</si>
  <si>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</si>
  <si>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</si>
  <si>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</si>
  <si>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</si>
  <si>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</si>
  <si>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</si>
  <si>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</si>
  <si>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</si>
  <si>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</si>
  <si>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</si>
  <si>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Chov drobných hospodářských zvířat</t>
  </si>
  <si>
    <t>Chov kožešinových zvířat</t>
  </si>
  <si>
    <t>Chov zvířat pro zájmový chov</t>
  </si>
  <si>
    <t>Chov ostatních zvířat j. n.</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</si>
  <si>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</si>
  <si>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</si>
  <si>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</si>
  <si>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</si>
  <si>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</si>
  <si>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</si>
  <si>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</si>
  <si>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</si>
  <si>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</si>
  <si>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</si>
  <si>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</si>
  <si>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</si>
  <si>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</si>
  <si>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</si>
  <si>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</si>
  <si>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</si>
  <si>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</si>
  <si>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</si>
  <si>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</si>
  <si>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</si>
  <si>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</si>
  <si>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</si>
  <si>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</si>
  <si>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</si>
  <si>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</si>
  <si>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</si>
  <si>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</si>
  <si>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</si>
  <si>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</si>
  <si>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</si>
  <si>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</si>
  <si>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</si>
  <si>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</si>
  <si>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</si>
  <si>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</si>
  <si>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</si>
  <si>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</si>
  <si>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</si>
  <si>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</si>
  <si>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</si>
  <si>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</si>
  <si>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</si>
  <si>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</si>
  <si>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</si>
  <si>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</si>
  <si>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</si>
  <si>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</si>
  <si>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</si>
  <si>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</si>
  <si>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</si>
  <si>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</si>
  <si>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</si>
  <si>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</si>
  <si>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</si>
  <si>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</si>
  <si>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</si>
  <si>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</si>
  <si>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</si>
  <si>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</si>
  <si>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</si>
  <si>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</si>
  <si>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</si>
  <si>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</si>
  <si>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</si>
  <si>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</si>
  <si>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</si>
  <si>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</si>
  <si>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</si>
  <si>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</si>
  <si>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</si>
  <si>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</si>
  <si>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</si>
  <si>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</si>
  <si>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</si>
  <si>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</si>
  <si>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</si>
  <si>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</si>
  <si>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</si>
  <si>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</si>
  <si>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</si>
  <si>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</si>
  <si>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</si>
  <si>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</si>
  <si>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</si>
  <si>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</si>
  <si>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</si>
  <si>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</si>
  <si>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</si>
  <si>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</si>
  <si>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</si>
  <si>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</si>
  <si>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</si>
  <si>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</si>
  <si>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</si>
  <si>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</si>
  <si>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</si>
  <si>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</si>
  <si>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</si>
  <si>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</si>
  <si>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</si>
  <si>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</si>
  <si>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</si>
  <si>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</si>
  <si>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</si>
  <si>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</si>
  <si>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</si>
  <si>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</si>
  <si>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</si>
  <si>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</si>
  <si>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</si>
  <si>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</si>
  <si>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</si>
  <si>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</si>
  <si>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</si>
  <si>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</si>
  <si>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</si>
  <si>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</si>
  <si>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</si>
  <si>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</si>
  <si>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</si>
  <si>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</si>
  <si>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</si>
  <si>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</si>
  <si>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</si>
  <si>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</si>
  <si>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</si>
  <si>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</si>
  <si>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</si>
  <si>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</si>
  <si>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</si>
  <si>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</si>
  <si>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</si>
  <si>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</si>
  <si>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</si>
  <si>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</si>
  <si>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</si>
  <si>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</si>
  <si>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</si>
  <si>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</si>
  <si>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</si>
  <si>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</si>
  <si>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</si>
  <si>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</si>
  <si>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</si>
  <si>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</si>
  <si>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</si>
  <si>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</si>
  <si>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</si>
  <si>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</si>
  <si>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</si>
  <si>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</si>
  <si>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</si>
  <si>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</si>
  <si>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</si>
  <si>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</si>
  <si>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</si>
  <si>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</si>
  <si>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</si>
  <si>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</si>
  <si>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</si>
  <si>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</si>
  <si>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</si>
  <si>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</si>
  <si>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</si>
  <si>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</si>
  <si>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</si>
  <si>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</si>
  <si>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</si>
  <si>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</si>
  <si>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</si>
  <si>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</si>
  <si>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</si>
  <si>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</si>
  <si>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</si>
  <si>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</si>
  <si>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</si>
  <si>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</si>
  <si>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</si>
  <si>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</si>
  <si>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</si>
  <si>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</si>
  <si>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</si>
  <si>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</si>
  <si>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</si>
  <si>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</si>
  <si>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</si>
  <si>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</si>
  <si>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</si>
  <si>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</si>
  <si>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</si>
  <si>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</si>
  <si>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</si>
  <si>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</si>
  <si>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</si>
  <si>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</si>
  <si>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</si>
  <si>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</si>
  <si>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</si>
  <si>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</si>
  <si>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</si>
  <si>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</si>
  <si>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</si>
  <si>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</si>
  <si>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</si>
  <si>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</si>
  <si>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</si>
  <si>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</si>
  <si>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</si>
  <si>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</si>
  <si>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</si>
  <si>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</si>
  <si>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</si>
  <si>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</si>
  <si>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</si>
  <si>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</si>
  <si>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</si>
  <si>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</si>
  <si>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</si>
  <si>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</si>
  <si>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</si>
  <si>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</si>
  <si>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</si>
  <si>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</si>
  <si>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</si>
  <si>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</si>
  <si>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</si>
  <si>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</si>
  <si>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</si>
  <si>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</si>
  <si>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</si>
  <si>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</si>
  <si>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</si>
  <si>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</si>
  <si>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</si>
  <si>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</si>
  <si>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</si>
  <si>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</si>
  <si>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</si>
  <si>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</si>
  <si>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</si>
  <si>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</si>
  <si>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</si>
  <si>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</si>
  <si>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</si>
  <si>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</si>
  <si>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</si>
  <si>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</si>
  <si>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</si>
  <si>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</si>
  <si>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</si>
  <si>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</si>
  <si>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</si>
  <si>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</si>
  <si>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</si>
  <si>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</si>
  <si>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</si>
  <si>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</si>
  <si>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</si>
  <si>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</si>
  <si>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</si>
  <si>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</si>
  <si>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</si>
  <si>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</si>
  <si>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</si>
  <si>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</si>
  <si>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</si>
  <si>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</si>
  <si>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</si>
  <si>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Těžba černého uhlí</t>
  </si>
  <si>
    <t>Úprava černého uhlí</t>
  </si>
  <si>
    <t>Letecká nákladní doprava</t>
  </si>
  <si>
    <t>Kosmická doprava</t>
  </si>
  <si>
    <t>Těžba hnědého uhlí, kromě lignitu</t>
  </si>
  <si>
    <t>Úprava hnědého uhlí, kromě lignitu</t>
  </si>
  <si>
    <t>Těžba lignitu</t>
  </si>
  <si>
    <t>Úprava lignitu</t>
  </si>
  <si>
    <t>Činnosti související s pozemní dopravou</t>
  </si>
  <si>
    <t>Činnosti související s vodní dopravou</t>
  </si>
  <si>
    <t>Činnosti související s leteckou dopravou</t>
  </si>
  <si>
    <t>Manipulace s nákladem</t>
  </si>
  <si>
    <t>Vydávání knih</t>
  </si>
  <si>
    <t>Ostatní vydávání softwaru</t>
  </si>
  <si>
    <t>Promítání filmů</t>
  </si>
  <si>
    <t>Centrální bankovnictví</t>
  </si>
  <si>
    <t>Ostatní peněžní zprostředkování</t>
  </si>
  <si>
    <t>Finanční leasing</t>
  </si>
  <si>
    <t>Řízení a správa finančních trhů</t>
  </si>
  <si>
    <t>Obchodování s cennými papíry a komoditami na burzách</t>
  </si>
  <si>
    <t>Vyhodnocování rizik a škod</t>
  </si>
  <si>
    <t>Úprava železných rud</t>
  </si>
  <si>
    <t>Architektonické činnosti</t>
  </si>
  <si>
    <t>Inženýrské činnosti a související technické poradenství</t>
  </si>
  <si>
    <t>Úprava uranových a thoriových rud</t>
  </si>
  <si>
    <t>Úprava ostatních neželezných rud</t>
  </si>
  <si>
    <t>Činnosti reklamních agentur</t>
  </si>
  <si>
    <t>Zastupování médií při prodeji reklamního času a prostoru</t>
  </si>
  <si>
    <t>Pronájem a leasing nákladních automobilů</t>
  </si>
  <si>
    <t>Pronájem a leasing rekreačních a sportovních potřeb</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</si>
  <si>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</si>
  <si>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</si>
  <si>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</si>
  <si>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</si>
  <si>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</si>
  <si>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Činnosti cestovních agentur</t>
  </si>
  <si>
    <t>Činnosti cestovních kanceláří</t>
  </si>
  <si>
    <t>Všeobecný úklid budov</t>
  </si>
  <si>
    <t>Specializované čištění a úklid budov a průmyslových zařízení</t>
  </si>
  <si>
    <t>Ostatní úklidové činnosti</t>
  </si>
  <si>
    <t>Inkasní činnosti, ověřování solventnosti zákazníka</t>
  </si>
  <si>
    <t>Balicí činnosti</t>
  </si>
  <si>
    <t>Ostatní podpůrné činnosti pro podnikání j. n.</t>
  </si>
  <si>
    <t>Všeobecné činnosti veřejné správy</t>
  </si>
  <si>
    <t>Regulace a podpora podnikatelského prostředí</t>
  </si>
  <si>
    <t>Činnosti v oblasti zahraničních věcí</t>
  </si>
  <si>
    <t>Činnosti v oblasti obrany</t>
  </si>
  <si>
    <t>Činnosti v oblasti spravedlnosti a soudnictví</t>
  </si>
  <si>
    <t>Činnosti v oblasti veřejného pořádku a bezpečnosti</t>
  </si>
  <si>
    <t>Sportovní a rekreační vzdělávání</t>
  </si>
  <si>
    <t>Umělecké vzdělávání</t>
  </si>
  <si>
    <t>Všeobecná ambulantní zdravotní péče</t>
  </si>
  <si>
    <t>Specializovaná ambulantní zdravotní péče</t>
  </si>
  <si>
    <t>Zubní péče</t>
  </si>
  <si>
    <t>Ostatní ambulantní nebo terénní sociální služby j. n.</t>
  </si>
  <si>
    <t>Provozování sportovních zařízení</t>
  </si>
  <si>
    <t>Činnosti sportovních klubů</t>
  </si>
  <si>
    <t>Činnosti fitcenter</t>
  </si>
  <si>
    <t>Činnosti podnikatelských a zaměstnavatelských organizací</t>
  </si>
  <si>
    <t>Činnosti profesních organizací</t>
  </si>
  <si>
    <t>Činnosti náboženských organizací</t>
  </si>
  <si>
    <t>Pohřební a související činnosti</t>
  </si>
  <si>
    <t>Poskytování ostatních osobních služeb j. n.</t>
  </si>
  <si>
    <t>Výroba obuvi s usňovým svrškem</t>
  </si>
  <si>
    <t>Výroba chemických buničin</t>
  </si>
  <si>
    <t>Výroba mechanických vláknin</t>
  </si>
  <si>
    <t>Výroba ostatních papírenských vláknin</t>
  </si>
  <si>
    <t>Výroba jiných chemických výrobků j. n.</t>
  </si>
  <si>
    <t>Opravy a údržba kolejových vozidel</t>
  </si>
  <si>
    <t>Činnosti zastaváren</t>
  </si>
  <si>
    <t>Ostatní poskytování úvěrů j. n.</t>
  </si>
  <si>
    <t>Faktoringové činnosti</t>
  </si>
  <si>
    <t>Obchodování s cennými papíry na vlastní účet</t>
  </si>
  <si>
    <t>Činnosti autoškol</t>
  </si>
  <si>
    <t>Vzdělávání v jazykových školách</t>
  </si>
  <si>
    <t>Jiné vzdělávání j. n.</t>
  </si>
  <si>
    <t>Ostatní činnosti související se zdravotní péčí j. n.</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</si>
  <si>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</si>
  <si>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</si>
  <si>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</si>
  <si>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</si>
  <si>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</si>
  <si>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</si>
  <si>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</si>
  <si>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Činnosti občanských iniciativ, protestních hnutí</t>
  </si>
  <si>
    <t>Činnosti ostatních organizací j. n.</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</si>
  <si>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</si>
  <si>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</si>
  <si>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</si>
  <si>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</si>
  <si>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</si>
  <si>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</si>
  <si>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</si>
  <si>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</si>
  <si>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</si>
  <si>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</si>
  <si>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</si>
  <si>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</si>
  <si>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</si>
  <si>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</si>
  <si>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t>http://business.center.cz/business/sablony/s110-ucetni-zaverka-v-plnem-rozsahu.aspx</t>
  </si>
  <si>
    <t>daňový poradce, auditor Aspekt HM s.r.o.</t>
  </si>
  <si>
    <t>autor šablony</t>
  </si>
  <si>
    <t>XML</t>
  </si>
  <si>
    <t xml:space="preserve"> </t>
  </si>
  <si>
    <t>ROZVAHA</t>
  </si>
  <si>
    <t>AKTIVA</t>
  </si>
  <si>
    <t>PASIVA</t>
  </si>
  <si>
    <t>VÝKAZ ZISKU A ZTRÁTY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</si>
  <si>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</si>
  <si>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</si>
  <si>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</si>
  <si>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</si>
  <si>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</si>
  <si>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</si>
  <si>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</si>
  <si>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</si>
  <si>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</si>
  <si>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</si>
  <si>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</si>
  <si>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</si>
  <si>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</si>
  <si>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</si>
  <si>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</si>
  <si>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</si>
  <si>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</si>
  <si>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</si>
  <si>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</si>
  <si>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</si>
  <si>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</si>
  <si>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</si>
  <si>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</si>
  <si>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</si>
  <si>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</si>
  <si>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</si>
  <si>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</si>
  <si>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</si>
  <si>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</si>
  <si>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charset val="238"/>
      </rPr>
      <t>3)</t>
    </r>
    <r>
      <rPr>
        <b/>
        <sz val="9"/>
        <rFont val="Arial CE"/>
        <family val="2"/>
        <charset val="238"/>
      </rPr>
      <t>:</t>
    </r>
  </si>
  <si>
    <r>
      <t>s uvedením vztahu k právnické osobě</t>
    </r>
    <r>
      <rPr>
        <sz val="8"/>
        <rFont val="Arial CE"/>
        <charset val="238"/>
      </rPr>
      <t xml:space="preserve"> (např. jednatel, pověřený pracovník apod.)</t>
    </r>
  </si>
  <si>
    <t>Otisk razítka</t>
  </si>
  <si>
    <r>
      <t>2)</t>
    </r>
    <r>
      <rPr>
        <sz val="7"/>
        <rFont val="Arial CE"/>
        <family val="2"/>
        <charset val="238"/>
      </rPr>
      <t xml:space="preserve"> Údaj vyplňte, </t>
    </r>
    <r>
      <rPr>
        <b/>
        <sz val="7"/>
        <rFont val="Arial CE"/>
        <charset val="238"/>
      </rPr>
      <t>pouze</t>
    </r>
    <r>
      <rPr>
        <sz val="7"/>
        <rFont val="Arial CE"/>
        <family val="2"/>
        <charset val="238"/>
      </rPr>
      <t xml:space="preserve"> máte-li kód rozlišení typu DAP v případech uvedených v § 239b, § 239c a § 244 zákona č. 280/2009 Sb., daňového řádu, ve znění pozdějších předpisů</t>
    </r>
  </si>
  <si>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</si>
  <si>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</si>
  <si>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</si>
  <si>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</si>
  <si>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</si>
  <si>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</si>
  <si>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</si>
  <si>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</si>
  <si>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</si>
  <si>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</si>
  <si>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</si>
  <si>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</si>
  <si>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</si>
  <si>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</si>
  <si>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</si>
  <si>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</si>
  <si>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</si>
  <si>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charset val="23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</si>
  <si>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</si>
  <si>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</si>
  <si>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</si>
  <si>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</si>
  <si>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</si>
  <si>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</si>
  <si>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238"/>
      </rPr>
      <t>Přílohy č. 3</t>
    </r>
    <r>
      <rPr>
        <sz val="8"/>
        <rFont val="Arial CE"/>
        <family val="2"/>
        <charset val="238"/>
      </rPr>
      <t xml:space="preserve"> zveřejněný na webové adrese </t>
    </r>
    <r>
      <rPr>
        <b/>
        <sz val="8"/>
        <rFont val="Arial CE"/>
        <charset val="238"/>
      </rPr>
      <t>www.financnisprava.cz</t>
    </r>
    <r>
      <rPr>
        <b/>
        <sz val="8"/>
        <rFont val="Arial CE"/>
        <family val="2"/>
        <charset val="23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</si>
  <si>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</si>
  <si>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</si>
  <si>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</si>
  <si>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</si>
  <si>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</si>
  <si>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23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</si>
  <si>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Celková daňová povinnost:</t>
  </si>
  <si>
    <t>Postup:</t>
  </si>
  <si>
    <t>Podepisující osoba/vztah k účetní jednotce:</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</si>
  <si>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</si>
  <si>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</si>
  <si>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</si>
  <si>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</si>
  <si>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</si>
  <si>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</si>
  <si>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</si>
  <si>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</si>
  <si>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</si>
  <si>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</si>
  <si>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</si>
  <si>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charset val="238"/>
      </rPr>
      <t>Speciální pozornost</t>
    </r>
    <r>
      <rPr>
        <sz val="11"/>
        <rFont val="Arial CE"/>
        <charset val="238"/>
      </rPr>
      <t xml:space="preserve"> je potřeba věnovat těmto položkám (položky jsou na listu ZAKL_DATA vyžluceny a obsahují obsáhlé komentáře s návody na jejich vyplnění):</t>
    </r>
  </si>
  <si>
    <t>Návod postupu pro generování XML exportu:</t>
  </si>
  <si>
    <r>
      <t>Formulář lze plnohodnotně používat pouze v programech Microsoft Excel verze 2007 a vyšší.</t>
    </r>
    <r>
      <rPr>
        <sz val="11"/>
        <rFont val="Arial CE"/>
        <charset val="238"/>
      </rPr>
      <t xml:space="preserve"> Jakékoli připomínky k šabloně zasílejte prosím mailem na adresu: </t>
    </r>
    <r>
      <rPr>
        <b/>
        <sz val="11"/>
        <rFont val="Arial CE"/>
        <charset val="238"/>
      </rPr>
      <t>priznani@aspekt.hm</t>
    </r>
  </si>
  <si>
    <r>
      <t xml:space="preserve">Jakmile máte vyplněna všechna data, </t>
    </r>
    <r>
      <rPr>
        <b/>
        <sz val="11"/>
        <rFont val="Arial CE"/>
        <charset val="238"/>
      </rPr>
      <t>je potřeba si soubor ve formátu *.xlsx uložit</t>
    </r>
    <r>
      <rPr>
        <sz val="11"/>
        <rFont val="Arial CE"/>
        <charset val="238"/>
      </rPr>
      <t xml:space="preserve"> funkcí Uložit (v kroku 6 po vygenerování xml souboru dojde ke ztrátě dat).</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</si>
  <si>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</si>
  <si>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</si>
  <si>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</si>
  <si>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238"/>
      </rPr>
      <t>1</t>
    </r>
    <r>
      <rPr>
        <vertAlign val="superscript"/>
        <sz val="8"/>
        <rFont val="Arial CE"/>
        <charset val="23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</si>
  <si>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</si>
  <si>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</si>
  <si>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</si>
  <si>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</si>
  <si>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</si>
  <si>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</si>
  <si>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</si>
  <si>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</si>
  <si>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</si>
  <si>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</si>
  <si>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</si>
  <si>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</si>
  <si>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</si>
  <si>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</si>
  <si>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</si>
  <si>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</si>
  <si>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</si>
  <si>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</si>
  <si>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</si>
  <si>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Variabilní symbol důchodového pojištění (DP)</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</si>
  <si>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</si>
  <si>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</si>
  <si>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</si>
  <si>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</si>
  <si>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</si>
  <si>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</si>
  <si>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</si>
  <si>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</si>
  <si>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</si>
  <si>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</si>
  <si>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</si>
  <si>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</si>
  <si>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</si>
  <si>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</si>
  <si>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</si>
  <si>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</si>
  <si>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</si>
  <si>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</si>
  <si>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</si>
  <si>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</si>
  <si>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</si>
  <si>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</si>
  <si>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</si>
  <si>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</si>
  <si>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</si>
  <si>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</si>
  <si>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</si>
  <si>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</si>
  <si>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r>
      <t xml:space="preserve">Vypočtená částka </t>
    </r>
    <r>
      <rPr>
        <sz val="8"/>
        <rFont val="Arial CE"/>
        <family val="2"/>
        <charset val="23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</si>
  <si>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</si>
  <si>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</si>
  <si>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</si>
  <si>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</si>
  <si>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</si>
  <si>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</si>
  <si>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</si>
  <si>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</si>
  <si>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</si>
  <si>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</si>
  <si>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</si>
  <si>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</si>
  <si>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</si>
  <si>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</si>
  <si>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</si>
  <si>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</si>
  <si>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</si>
  <si>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</si>
  <si>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</si>
  <si>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</si>
  <si>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</si>
  <si>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</si>
  <si>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</si>
  <si>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</si>
  <si>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</si>
  <si>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</si>
  <si>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</si>
  <si>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</si>
  <si>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</si>
  <si>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</si>
  <si>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</si>
  <si>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</si>
  <si>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</si>
  <si>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</si>
  <si>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</si>
  <si>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</si>
  <si>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</si>
  <si>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Údaje OSSZ / PSSZ / MSSZ Brno</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</si>
  <si>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</si>
  <si>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</si>
  <si>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</si>
  <si>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</si>
  <si>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</si>
  <si>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</si>
  <si>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</si>
  <si>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</si>
  <si>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</si>
  <si>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</si>
  <si>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</si>
  <si>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</si>
  <si>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</si>
  <si>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</si>
  <si>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</si>
  <si>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</si>
  <si>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</si>
  <si>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</si>
  <si>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</si>
  <si>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</si>
  <si>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</si>
  <si>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</si>
  <si>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</si>
  <si>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238"/>
      </rPr>
      <t xml:space="preserve">potvrzuji, </t>
    </r>
    <r>
      <rPr>
        <sz val="9"/>
        <color theme="1"/>
        <rFont val="Arial"/>
        <family val="2"/>
        <charset val="238"/>
      </rPr>
      <t>že poplatník</t>
    </r>
  </si>
  <si>
    <t>v roce</t>
  </si>
  <si>
    <t xml:space="preserve">u výše uvedeného plátce daně daňové zvýhodnění na níže uvedené </t>
  </si>
  <si>
    <r>
      <rPr>
        <b/>
        <sz val="9"/>
        <color theme="1"/>
        <rFont val="Arial"/>
        <family val="2"/>
        <charset val="238"/>
      </rPr>
      <t xml:space="preserve">vyživované děti poplatníkem, </t>
    </r>
    <r>
      <rPr>
        <sz val="9"/>
        <color theme="1"/>
        <rFont val="Arial"/>
        <family val="2"/>
        <charset val="23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</si>
  <si>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</si>
  <si>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</si>
  <si>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</si>
  <si>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</si>
  <si>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</si>
  <si>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238"/>
      </rPr>
      <t>nepovinný tiskopis</t>
    </r>
    <r>
      <rPr>
        <sz val="8"/>
        <color theme="1"/>
        <rFont val="Arial"/>
        <family val="2"/>
        <charset val="238"/>
      </rPr>
      <t xml:space="preserve">, který je určen plátcům daně </t>
    </r>
    <r>
      <rPr>
        <b/>
        <sz val="8"/>
        <color theme="1"/>
        <rFont val="Arial"/>
        <family val="2"/>
        <charset val="238"/>
      </rPr>
      <t>pro účely potvrzení daňového zvýhodnění v souvislosti s prokazováním nároku v rámci daňového přiznání</t>
    </r>
    <r>
      <rPr>
        <sz val="8"/>
        <color theme="1"/>
        <rFont val="Arial"/>
        <family val="2"/>
        <charset val="23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238"/>
      </rPr>
      <t>U vyživovaných dětí poplatníkem, na které poplatník neuplatňuje daňové zvýhodnění, uveďte = "0".</t>
    </r>
  </si>
  <si>
    <t>Evidenční štítek</t>
  </si>
  <si>
    <t>kc_sleva_eet</t>
  </si>
  <si>
    <t>uv</t>
  </si>
  <si>
    <t>nevyplnuje se</t>
  </si>
  <si>
    <t>P</t>
  </si>
  <si>
    <t>Z</t>
  </si>
  <si>
    <t>M</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</si>
  <si>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</si>
  <si>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</si>
  <si>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</si>
  <si>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</si>
  <si>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</si>
  <si>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</si>
  <si>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</si>
  <si>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</si>
  <si>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</si>
  <si>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</si>
  <si>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</si>
  <si>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</si>
  <si>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charset val="238"/>
      </rPr>
      <t xml:space="preserve"> </t>
    </r>
    <r>
      <rPr>
        <sz val="8"/>
        <rFont val="Arial CE"/>
        <charset val="238"/>
      </rPr>
      <t>(je-li zástupce právnickou osobou)</t>
    </r>
    <r>
      <rPr>
        <sz val="9"/>
        <rFont val="Arial CE"/>
        <charset val="238"/>
      </rPr>
      <t>,</t>
    </r>
  </si>
  <si>
    <t>Příjmy podle § 9 zákona celkem</t>
  </si>
  <si>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</si>
  <si>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</si>
  <si>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</si>
  <si>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</si>
  <si>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</si>
  <si>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</si>
  <si>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</si>
  <si>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</si>
  <si>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</si>
  <si>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</si>
  <si>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</si>
  <si>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</si>
  <si>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</si>
  <si>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</si>
  <si>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</si>
  <si>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</si>
  <si>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</si>
  <si>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</si>
  <si>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</si>
  <si>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</si>
  <si>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</si>
  <si>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</si>
  <si>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</si>
  <si>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</si>
  <si>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</si>
  <si>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</si>
  <si>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</si>
  <si>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</si>
  <si>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</si>
  <si>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</si>
  <si>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</si>
  <si>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t>FORMULÁŘ PRO NAČTENÍ DAT Z ÚČETNÍ ZÁVĚRKY PRO PODNIKATELE (ve zkráceném i v plném rozsahu)</t>
  </si>
  <si>
    <t xml:space="preserve">1. ve vyplněném souboru Účetní závěrky jděte na list "Export do DzPPO", klikněte na červenou buňku vlevo nahoře (buňka A1), stiskněte klávesy Ctrl+A a následně Ctrl+C. </t>
  </si>
  <si>
    <t>2. v souběžně otevřeném souboru Daňového přiznání jděte na list "Účetní_závěrka", klikněte na červenou buňku vlevo nahoře (buňka A1) a stiskněte klávesy Ctrl+V.</t>
  </si>
  <si>
    <t>6. Ulice</t>
  </si>
  <si>
    <t>7. Číslo domu</t>
  </si>
  <si>
    <t>8. Obec</t>
  </si>
  <si>
    <t>9. PSČ</t>
  </si>
  <si>
    <t>10. Stát</t>
  </si>
  <si>
    <t>IBAN (číslo účtu použijte při platbě do ciziny)</t>
  </si>
  <si>
    <t>L. Podpisy a razítka</t>
  </si>
  <si>
    <t>PŘIZNÁNÍ K DANI Z PŘÍJMŮ FYZICKÝCH OSOB pro poplatníky vedoucí účetnictví, včetně přehledů OSVČ pro zdravotní i sociální pojištění</t>
  </si>
  <si>
    <t>G. Způsob použití přeplatku</t>
  </si>
  <si>
    <t>Přeplatek (zbývající část přeplatku) ve vyšší výši než 99 Kč</t>
  </si>
  <si>
    <r>
      <t>Podpis daňového subjektu (podepisující osoby</t>
    </r>
    <r>
      <rPr>
        <vertAlign val="superscript"/>
        <sz val="8"/>
        <rFont val="Arial"/>
        <family val="2"/>
        <charset val="238"/>
      </rPr>
      <t>3)</t>
    </r>
    <r>
      <rPr>
        <sz val="8"/>
        <rFont val="Arial"/>
        <family val="2"/>
        <charset val="238"/>
      </rPr>
      <t>)</t>
    </r>
  </si>
  <si>
    <t>09 Titul*)</t>
  </si>
  <si>
    <t>07 Rodné příjmení*)</t>
  </si>
  <si>
    <t>16 Telefon / mobilní telefon*)</t>
  </si>
  <si>
    <t>17 E-mail*)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</si>
  <si>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</si>
  <si>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</si>
  <si>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</si>
  <si>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</si>
  <si>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charset val="238"/>
      </rPr>
      <t>1</t>
    </r>
    <r>
      <rPr>
        <sz val="8"/>
        <rFont val="Arial CE"/>
        <charset val="23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</si>
  <si>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</si>
  <si>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</si>
  <si>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</si>
  <si>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</si>
  <si>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238"/>
      </rPr>
      <t>1</t>
    </r>
    <r>
      <rPr>
        <sz val="8"/>
        <rFont val="Arial"/>
        <family val="2"/>
        <charset val="238"/>
      </rPr>
      <t>) Stanovena (pravomocně stanovena)</t>
    </r>
  </si>
  <si>
    <t>25 5405/P6 MFin 5405/P6 - vzor č. 2</t>
  </si>
  <si>
    <t>4. Rodné číslo</t>
  </si>
  <si>
    <t>5. Datum narození</t>
  </si>
  <si>
    <t>11. ID Datové schránky/E-mail</t>
  </si>
  <si>
    <t>12. Telefon</t>
  </si>
  <si>
    <t>B. Údaje o výkonu samostatné výdělečné činnosti (SVČ)</t>
  </si>
  <si>
    <t>Měsíce, v nichž po celý měsíc trval nárok na výplatu nemocenského/PPM nebo dlouh. ošetřovného</t>
  </si>
  <si>
    <t>14. Zaměstnání</t>
  </si>
  <si>
    <t>17. Nárok na PPM nebo nemocenské z důvodu těhotenství a porodu z NP zaměstnanců</t>
  </si>
  <si>
    <t>18. Osobní péče o osobu závislou na pomoci jiné osoby</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</si>
  <si>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</si>
  <si>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</si>
  <si>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</si>
  <si>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</si>
  <si>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</si>
  <si>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</si>
  <si>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27 Telefon / mobilní telefon*)</t>
  </si>
  <si>
    <t>28 E-mail*)</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</si>
  <si>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</si>
  <si>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</si>
  <si>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</si>
  <si>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</si>
  <si>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238"/>
      </rPr>
      <t>na celé Kč</t>
    </r>
    <r>
      <rPr>
        <sz val="8"/>
        <rFont val="Arial CE"/>
        <family val="2"/>
        <charset val="238"/>
      </rPr>
      <t xml:space="preserve"> nahoru</t>
    </r>
  </si>
  <si>
    <t>74a</t>
  </si>
  <si>
    <t>Daň celkem (ř. 74 - ř. 74a)</t>
  </si>
  <si>
    <t>Daň celkem po úpravě o daňový bonus (ř. 75 – ř. 76), pokud
je na řádku záporné číslo uveďte nulu</t>
  </si>
  <si>
    <t>77a</t>
  </si>
  <si>
    <t>Daňový bonus po odpočtu daně (ř. 76 – ř. 75), pokud je na
řádku záporné číslo uveďte nulu</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</si>
  <si>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</si>
  <si>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</si>
  <si>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</si>
  <si>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</si>
  <si>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t>Dílčí základ daně (ztráta) z příjmů dle § 7 zákona (ř. 104 + ř. 105 - ř. 106 - ř. 107 + ř. 108 + ř. 109 - ř. 110 + ř. 112)</t>
  </si>
  <si>
    <t>Z částky daně zaplacené v zahraničí lze maximálně započítat                    [(ř. 57 nebo ř. 316 násobeno ř. 324, děleno 100]</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</si>
  <si>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</si>
  <si>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</si>
  <si>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</si>
  <si>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</si>
  <si>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Základ daně po vynětí příjmů ze zdrojů v zahraničí snížený o nezdanitelné části základu daně a odčitatelné položky (ř. 313 – ř. 54 – ř. 44) zaokrouhlený na celá sta Kč dolů</t>
  </si>
  <si>
    <t>Sazba celkového daňového zatížení –
(ř. 57 děleno ř. 56, násobeno stem)</t>
  </si>
  <si>
    <t>Daň ze základu daně po vynětí příjmů ze zdrojů v zahraničí
(ř. 314 násobeno ř. 315, děleno stem)</t>
  </si>
  <si>
    <t>2. Příjmy ze zdrojů v zahraničí - metoda zápočtu daně zaplacené v zahraničí</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</si>
  <si>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</si>
  <si>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</si>
  <si>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</si>
  <si>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</si>
  <si>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</si>
  <si>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</si>
  <si>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</si>
  <si>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</si>
  <si>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</si>
  <si>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Koeficient zápočtu (ř. 321 - ř. 322) děleno (ř. 42 nebo ř. 313) výsledek vynásobte 100 </t>
  </si>
  <si>
    <t>Z částky daně zaplacené v zahraničí lze maximálně započítat                                    [(ř. 57 nebo ř. 316) násobeno ř. 324 děleno 100]</t>
  </si>
  <si>
    <t>25 5405/a MFin 5405/a - vzor č. 5</t>
  </si>
  <si>
    <t>25 5405b MFin 5405b - vzor č. 3</t>
  </si>
  <si>
    <t xml:space="preserve">Příjmení a jméno poplatníka: </t>
  </si>
  <si>
    <t>Poslední známá daňová povinnost:</t>
  </si>
  <si>
    <r>
      <t>Termín pro odevzdání daňového přiznání</t>
    </r>
    <r>
      <rPr>
        <vertAlign val="superscript"/>
        <sz val="10"/>
        <rFont val="Arial CE"/>
        <charset val="238"/>
      </rPr>
      <t>1)</t>
    </r>
    <r>
      <rPr>
        <sz val="10"/>
        <rFont val="Arial CE"/>
        <charset val="238"/>
      </rPr>
      <t>:</t>
    </r>
  </si>
  <si>
    <t>Tisk řádku</t>
  </si>
  <si>
    <t>Datum splatnosti</t>
  </si>
  <si>
    <t>Daň z příjmů</t>
  </si>
  <si>
    <t>Duchodové pojištění</t>
  </si>
  <si>
    <t>Nemocenské pojištění</t>
  </si>
  <si>
    <t>Zdravotní pojištění</t>
  </si>
  <si>
    <t>ANO/NE</t>
  </si>
  <si>
    <r>
      <t>8. den po datu odevzdání přehledů OSVČ</t>
    </r>
    <r>
      <rPr>
        <vertAlign val="superscript"/>
        <sz val="10"/>
        <rFont val="Arial"/>
        <family val="2"/>
        <charset val="238"/>
      </rPr>
      <t>2)</t>
    </r>
  </si>
  <si>
    <t xml:space="preserve">1) toto políčko je potřeba vyplnit ručně, nejsou-li uvedené údaje v pořádku; v daném zdaňovacím období je termín pro podání přiznání stanoven: </t>
  </si>
  <si>
    <t>ANO</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</si>
  <si>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</si>
  <si>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ii) na 2.5., pokud dojde k podání přiznání elektronickou cestou poplatníkem v termínu od 2.4. do 2.5., avšak s vyjímkou povinně auditovaných daňových subjektů.</t>
  </si>
  <si>
    <t>iii) na 1.7., pokud dojde k podání přiznání daňovým poradcem na základě plné moci v termínu od 2.4. do 1.7. nebo u  povinně auditovaných subjektů.</t>
  </si>
  <si>
    <t>2) Termín pro podání přehledů OSVČ na sociální i zdravotní pojištění je nejpozději do jednoho měsíce ode dne, ve kterém mělo být podáno daňové přiznání. Doplatek pojistného je splatný nejpozději do 8 dnů po dni, ve kterém byl nebo měl být podán přehled OSVČ.</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</si>
  <si>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</si>
  <si>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Znaménko mínus značí přeplatek a měl by být vrácen nejpozději do 30 dnů po datu uvedeném v příslušném řádku.</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</si>
  <si>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</si>
  <si>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</si>
  <si>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</si>
  <si>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</si>
  <si>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</si>
  <si>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</si>
  <si>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</si>
  <si>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</si>
  <si>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</si>
  <si>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33. Úhrn zaplacených záloh na DP</t>
  </si>
  <si>
    <t>34. Výsledný Doplatek / Přeplatek (rozdíl mezi řádky 32 a 33)</t>
  </si>
  <si>
    <t>35. Měsíční vyměřovací základ</t>
  </si>
  <si>
    <t>37. Měsíční pojistné na NP</t>
  </si>
  <si>
    <t xml:space="preserve">36. Měsíční záloha na DP </t>
  </si>
  <si>
    <t>Plná moc přílohou             ano</t>
  </si>
  <si>
    <t>Jiné přílohy</t>
  </si>
  <si>
    <t>15. Nárok na výplatu invalidního nebo přiznání starobního důchodu</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</si>
  <si>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</si>
  <si>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</si>
  <si>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</si>
  <si>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</si>
  <si>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</si>
  <si>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</si>
  <si>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</si>
  <si>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</si>
  <si>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</si>
  <si>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</si>
  <si>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</si>
  <si>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</si>
  <si>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kc_10dan</t>
  </si>
  <si>
    <t>Sražená daň podle § 36 odst. 6 zákona</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</si>
  <si>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</si>
  <si>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</si>
  <si>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</si>
  <si>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</si>
  <si>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</si>
  <si>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t xml:space="preserve">Koeficient zápočtu (ř. 321 - ř. 322) děleno (ř. 42 nebo ř. 313), výsledek vynásobte stem </t>
  </si>
  <si>
    <r>
      <t xml:space="preserve">Součet dílčích základů daně (ř. 406 + ř. 407 + ř. 408) </t>
    </r>
    <r>
      <rPr>
        <b/>
        <sz val="8"/>
        <rFont val="Arial CE"/>
        <charset val="238"/>
      </rPr>
      <t>zaokrouhlený</t>
    </r>
    <r>
      <rPr>
        <sz val="8"/>
        <rFont val="Arial CE"/>
        <family val="2"/>
        <charset val="238"/>
      </rPr>
      <t xml:space="preserve"> na celá sta Kč dolů</t>
    </r>
  </si>
  <si>
    <r>
      <rPr>
        <b/>
        <sz val="8"/>
        <rFont val="Arial CE"/>
        <charset val="238"/>
      </rPr>
      <t xml:space="preserve">Daň se sazbou 15 % ze součtu dílčích základů daně (ř. 409) </t>
    </r>
    <r>
      <rPr>
        <sz val="8"/>
        <rFont val="Arial CE"/>
        <family val="2"/>
        <charset val="23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</si>
  <si>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</si>
  <si>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</si>
  <si>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</si>
  <si>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19. Nezaopatřenost dítěte (studium)</t>
  </si>
  <si>
    <t>H. Údaje o daňovém přiznání a paušálním režimu</t>
  </si>
  <si>
    <t>Hlavní</t>
  </si>
  <si>
    <t>Vedlejší</t>
  </si>
  <si>
    <t>g)</t>
  </si>
  <si>
    <t>h)</t>
  </si>
  <si>
    <t>Pokud máte příjmy ze zahraničí, zaškrtněte vedlejší políčko symbolem "X"</t>
  </si>
  <si>
    <r>
      <t xml:space="preserve">i) prostřednictvím aplikace </t>
    </r>
    <r>
      <rPr>
        <u/>
        <sz val="11"/>
        <rFont val="Arial CE"/>
        <charset val="238"/>
      </rPr>
      <t>Moje daně</t>
    </r>
    <r>
      <rPr>
        <sz val="11"/>
        <rFont val="Arial CE"/>
        <charset val="238"/>
      </rPr>
      <t xml:space="preserve"> s podepsáním přes elektronickou identitu,</t>
    </r>
  </si>
  <si>
    <r>
      <t xml:space="preserve">Do vygenerovaného souboru doporučujeme </t>
    </r>
    <r>
      <rPr>
        <b/>
        <sz val="11"/>
        <rFont val="Arial CE"/>
        <charset val="238"/>
      </rPr>
      <t xml:space="preserve">prostřednictvím aplikace </t>
    </r>
    <r>
      <rPr>
        <b/>
        <u/>
        <sz val="11"/>
        <rFont val="Arial CE"/>
        <charset val="238"/>
      </rPr>
      <t>Moje daně</t>
    </r>
    <r>
      <rPr>
        <sz val="11"/>
        <rFont val="Arial CE"/>
        <charset val="238"/>
      </rPr>
      <t xml:space="preserve"> </t>
    </r>
    <r>
      <rPr>
        <b/>
        <sz val="11"/>
        <rFont val="Arial CE"/>
        <charset val="238"/>
      </rPr>
      <t>též vložit povinné přílohy</t>
    </r>
    <r>
      <rPr>
        <sz val="11"/>
        <rFont val="Arial CE"/>
        <charset val="238"/>
      </rPr>
      <t xml:space="preserve"> v pdf formátu (viz list DAP4), případně účetní závěrku v pdf formátu (pokud ji nenačtete rovnou do tohoto souboru - viz bod 4) - příslušný formulář lze stáhnout zde:</t>
    </r>
  </si>
  <si>
    <r>
      <t xml:space="preserve">Většina chyb je způsobena tím, že aplikace </t>
    </r>
    <r>
      <rPr>
        <u/>
        <sz val="11"/>
        <rFont val="Arial CE"/>
        <charset val="238"/>
      </rPr>
      <t>Moje daně</t>
    </r>
    <r>
      <rPr>
        <sz val="11"/>
        <rFont val="Arial CE"/>
        <charset val="23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</si>
  <si>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Po načtení xml souboru aplikace </t>
    </r>
    <r>
      <rPr>
        <u/>
        <sz val="11"/>
        <rFont val="Arial CE"/>
        <charset val="238"/>
      </rPr>
      <t>Moje daně</t>
    </r>
    <r>
      <rPr>
        <sz val="11"/>
        <rFont val="Arial CE"/>
        <charset val="238"/>
      </rPr>
      <t xml:space="preserve"> ověří, zda je vygenerovaný soubor v pořádku. Pro odstranění chyb z načtení doporučujeme postupovat dle pokynu uvedeném na listu </t>
    </r>
    <r>
      <rPr>
        <u/>
        <sz val="11"/>
        <rFont val="Arial CE"/>
        <charset val="238"/>
      </rPr>
      <t>Moje daně.</t>
    </r>
    <r>
      <rPr>
        <sz val="11"/>
        <rFont val="Arial CE"/>
        <charset val="238"/>
      </rPr>
      <t xml:space="preserve"> V případě, že chyby i nadále trvají, nahlásí aplikace </t>
    </r>
    <r>
      <rPr>
        <u/>
        <sz val="11"/>
        <rFont val="Arial CE"/>
        <charset val="238"/>
      </rPr>
      <t>Moje daně</t>
    </r>
    <r>
      <rPr>
        <sz val="11"/>
        <rFont val="Arial CE"/>
        <charset val="238"/>
      </rPr>
      <t xml:space="preserve"> chybu s popisem, v čem chyba spočívá. Chybu je potřeba odstranit buď (i) přímo v aplikaci </t>
    </r>
    <r>
      <rPr>
        <u/>
        <sz val="11"/>
        <rFont val="Arial CE"/>
        <charset val="238"/>
      </rPr>
      <t>Moje daně</t>
    </r>
    <r>
      <rPr>
        <sz val="11"/>
        <rFont val="Arial CE"/>
        <charset val="238"/>
      </rPr>
      <t>, nebo (ii) v tomto excelovském souboru a znova vygenerovat xml soubor dle bodu 5.</t>
    </r>
  </si>
  <si>
    <t>https://adisspr.mfcr.cz/pmd/epo/formulare?nacteni=1</t>
  </si>
  <si>
    <r>
      <t xml:space="preserve">Vygenerovaný soubor </t>
    </r>
    <r>
      <rPr>
        <b/>
        <sz val="11"/>
        <rFont val="Arial CE"/>
        <charset val="238"/>
      </rPr>
      <t>JE NUTNÉ</t>
    </r>
    <r>
      <rPr>
        <sz val="11"/>
        <rFont val="Arial CE"/>
        <charset val="238"/>
      </rPr>
      <t xml:space="preserve"> </t>
    </r>
    <r>
      <rPr>
        <b/>
        <sz val="11"/>
        <rFont val="Arial CE"/>
        <charset val="238"/>
      </rPr>
      <t xml:space="preserve">otestovat prostřednictvím aplikace </t>
    </r>
    <r>
      <rPr>
        <b/>
        <u/>
        <sz val="11"/>
        <rFont val="Arial CE"/>
        <charset val="238"/>
      </rPr>
      <t>Moje daně</t>
    </r>
    <r>
      <rPr>
        <sz val="11"/>
        <rFont val="Arial CE"/>
        <charset val="238"/>
      </rPr>
      <t xml:space="preserve">  zde: </t>
    </r>
  </si>
  <si>
    <t xml:space="preserve">Pokud budete podávat přiznání přes datovou schránku, pak je potřeba na příslušný finanční úřad poslat výše uvedený xml soubor. </t>
  </si>
  <si>
    <r>
      <t xml:space="preserve">Pokud máte elektronicku identitu, </t>
    </r>
    <r>
      <rPr>
        <b/>
        <sz val="11"/>
        <rFont val="Arial CE"/>
        <charset val="238"/>
      </rPr>
      <t xml:space="preserve">můžete přiznání podat na finanční úřad přes volbu "Odeslat" </t>
    </r>
    <r>
      <rPr>
        <sz val="11"/>
        <rFont val="Arial CE"/>
        <charset val="238"/>
      </rPr>
      <t>umístěnou vpravo nahoře.</t>
    </r>
  </si>
  <si>
    <t xml:space="preserve">8. </t>
  </si>
  <si>
    <r>
      <t xml:space="preserve">Soubor doporučujeme archivovat v xml podobě </t>
    </r>
    <r>
      <rPr>
        <sz val="11"/>
        <rFont val="Arial CE"/>
        <charset val="238"/>
      </rPr>
      <t>(volba "Další volby / Stáhnout soubor pro odeslání do datové schránky")</t>
    </r>
    <r>
      <rPr>
        <b/>
        <sz val="11"/>
        <rFont val="Arial CE"/>
        <charset val="238"/>
      </rPr>
      <t xml:space="preserve"> a v pdf podobě </t>
    </r>
    <r>
      <rPr>
        <sz val="11"/>
        <rFont val="Arial CE"/>
        <charset val="238"/>
      </rPr>
      <t>(volba "Další volby / Stáhnout opis v PDF").</t>
    </r>
  </si>
  <si>
    <r>
      <t xml:space="preserve">Jděte vpravo nahoru na odkaz "Protokol chyb". </t>
    </r>
    <r>
      <rPr>
        <sz val="11"/>
        <rFont val="Arial CE"/>
        <charset val="238"/>
      </rPr>
      <t>Pokud je vše v pořádku, objeví se text "Písemnost neobsahuje chyby". V některých případech se objeví hlášení na propustné chyby. Pokud tyto chyby nechcete/nemůžete odstranit, lze přiznání takto podat i s nimi.</t>
    </r>
  </si>
  <si>
    <r>
      <rPr>
        <b/>
        <sz val="11"/>
        <rFont val="Arial CE"/>
        <charset val="238"/>
      </rPr>
      <t>Jděte vlevo do menu na odkaz "Elektronický formulář",</t>
    </r>
    <r>
      <rPr>
        <sz val="11"/>
        <rFont val="Arial CE"/>
        <charset val="238"/>
      </rPr>
      <t xml:space="preserve"> vyberte volbu "Přílohy DAP a Podpisová doložka" a připojte příslušné přílohy v pdf formátu do všech položek, kde jsou červené poznámky aplikace </t>
    </r>
    <r>
      <rPr>
        <u/>
        <sz val="11"/>
        <rFont val="Arial CE"/>
        <charset val="238"/>
      </rPr>
      <t>Moje daně</t>
    </r>
    <r>
      <rPr>
        <sz val="11"/>
        <rFont val="Arial CE"/>
        <charset val="238"/>
      </rPr>
      <t>.</t>
    </r>
  </si>
  <si>
    <r>
      <rPr>
        <b/>
        <sz val="11"/>
        <rFont val="Arial CE"/>
        <charset val="238"/>
      </rPr>
      <t>Jděte vlevo do menu na odkaz "Elektronický formulář"</t>
    </r>
    <r>
      <rPr>
        <sz val="11"/>
        <rFont val="Arial CE"/>
        <charset val="238"/>
      </rPr>
      <t xml:space="preserve"> a vyberte volbu "Slevy na dani a daňové zvýhodnění, DoDPAP a placení daně" a tam zvolte volbu "Kontrola stránky"</t>
    </r>
  </si>
  <si>
    <t>Pokud máte vyplněnou (a tedy nesmazanou) Přílohu 1 a/nebo Přílohu 2, běžte na tyto nesmazané přílohy a dejte volbu "Kontrola stránky", tím dojde k odstranění formálních nedostatků v těchto přílohách,</t>
  </si>
  <si>
    <r>
      <rPr>
        <b/>
        <sz val="11"/>
        <rFont val="Arial CE"/>
        <charset val="238"/>
      </rPr>
      <t>Jděte vlevo do menu na odkaz "Přílohy"</t>
    </r>
    <r>
      <rPr>
        <sz val="11"/>
        <rFont val="Arial CE"/>
        <charset val="238"/>
      </rPr>
      <t xml:space="preserve"> a vymažte nepoužité přílohy z tohoto seznamu: Příloha 1, Příloha 2, Příloha 3, Příloha §34 odst. 1 a Příloha § 38f odst. 10. Smazání se provádí uvnitř každé přílohy tlačítkem "Smazat obsah přílohy"</t>
    </r>
  </si>
  <si>
    <r>
      <rPr>
        <b/>
        <sz val="11"/>
        <rFont val="Arial CE"/>
        <charset val="238"/>
      </rPr>
      <t xml:space="preserve">Po načtení xml souboru </t>
    </r>
    <r>
      <rPr>
        <sz val="11"/>
        <rFont val="Arial CE"/>
        <charset val="238"/>
      </rPr>
      <t>do aplikace Moje daně (</t>
    </r>
    <r>
      <rPr>
        <b/>
        <sz val="11"/>
        <color rgb="FF3399FF"/>
        <rFont val="Arial CE"/>
        <charset val="238"/>
      </rPr>
      <t>https://adisspr.mfcr.cz/pmd/epo/formulare?nacteni=1</t>
    </r>
    <r>
      <rPr>
        <sz val="11"/>
        <rFont val="Arial CE"/>
        <charset val="238"/>
      </rPr>
      <t>) aplikace nabídne domnělý seznam chyb, ten ignorujte a zrušte jej křížkem v pravém horním rohu.</t>
    </r>
  </si>
  <si>
    <t>Doporučený postup při načtení do aplikace Moje daně</t>
  </si>
  <si>
    <t>Doporučený postup pro elektronické podání přehledů OSVČ</t>
  </si>
  <si>
    <r>
      <rPr>
        <sz val="11"/>
        <rFont val="Arial CE"/>
        <charset val="238"/>
      </rPr>
      <t xml:space="preserve">Takto vytvořený </t>
    </r>
    <r>
      <rPr>
        <b/>
        <sz val="11"/>
        <rFont val="Arial CE"/>
        <charset val="238"/>
      </rPr>
      <t>pdf soubor pošlete vaší datovou schránkou do datové schránky vaší zdravotní pojišťovny.</t>
    </r>
  </si>
  <si>
    <r>
      <t xml:space="preserve">Vytvořte si pdf verzi přehledu pro zdravotní pojištění. </t>
    </r>
    <r>
      <rPr>
        <sz val="11"/>
        <rFont val="Arial CE"/>
        <charset val="238"/>
      </rPr>
      <t>Nejlépe to lze udělat tak, že si označíte listy "VZP" (pro Všeobecnou ZP) nebo list "Ostatní ZP" (pro ostatní zdravotní pojišťovny) a vytiskněte jej do programu, který jej uloží do souboru v pdf formátu (např. PdfCreator, Microsoft Print to PDF apod.).</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</si>
  <si>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</si>
  <si>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</si>
  <si>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</si>
  <si>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Vraťte na účet:</t>
  </si>
  <si>
    <t>Pošlete poštovní poukázkou (zpoplatněno) na adresu trvalého pobytu nebo na uvedenou adresu:</t>
  </si>
  <si>
    <t>39. Povinnost podávat daňové přiznání</t>
  </si>
  <si>
    <t>42. Lhůta pro předložení daňového přiznání byla rozhodnutím FÚ prodloužena do dne</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</si>
  <si>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</si>
  <si>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</si>
  <si>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</si>
  <si>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</si>
  <si>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</si>
  <si>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</si>
  <si>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</si>
  <si>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</si>
  <si>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</si>
  <si>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</si>
  <si>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</si>
  <si>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</si>
  <si>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1. Výpočet daně ze samostatného základu daně podle § 16a zákona</t>
  </si>
  <si>
    <t xml:space="preserve">Daňové identifikační číslo plátce daně </t>
  </si>
  <si>
    <t>7</t>
  </si>
  <si>
    <r>
      <t>potvrzení vydané dne</t>
    </r>
    <r>
      <rPr>
        <vertAlign val="superscript"/>
        <sz val="9"/>
        <color theme="1"/>
        <rFont val="Arial"/>
        <family val="2"/>
        <charset val="238"/>
      </rPr>
      <t>1)</t>
    </r>
  </si>
  <si>
    <t>25 5558 Mfin 5558 - vzor č. 3</t>
  </si>
  <si>
    <t>POKYNY</t>
  </si>
  <si>
    <r>
      <rPr>
        <vertAlign val="superscript"/>
        <sz val="8"/>
        <color theme="1"/>
        <rFont val="Arial"/>
        <family val="2"/>
        <charset val="238"/>
      </rPr>
      <t>1)</t>
    </r>
    <r>
      <rPr>
        <sz val="8"/>
        <color theme="1"/>
        <rFont val="Arial"/>
        <family val="2"/>
        <charset val="23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</si>
  <si>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 xml:space="preserve">C. Důvod výkonu vedlejší SVČ podle ustanovení § 9 odst. 6 písm. a) - f)  zák. č. 155/1995 Sb. </t>
  </si>
  <si>
    <t>16. Osobní péče o dítě do 4 let věku</t>
  </si>
  <si>
    <t>Poznámka: Řádky 24. a 26. se vyplňují pouze v případě, byla-li vykonávána hlavní i vedlejší činnost (čtěte pokyny)</t>
  </si>
  <si>
    <t>V roce 2025 splňuji podmínku pro měsíční VZ ve výši 25 % průměrné mzdy (viz pokyny)</t>
  </si>
  <si>
    <t>Sdělení:</t>
  </si>
  <si>
    <t>kc_sleva_exe</t>
  </si>
  <si>
    <t>kc_op15_inpr</t>
  </si>
  <si>
    <t>kc_op15_pece</t>
  </si>
  <si>
    <t>usn_exe</t>
  </si>
  <si>
    <t>potv_inpr</t>
  </si>
  <si>
    <t>potv_pece</t>
  </si>
  <si>
    <t>zamestnavatel</t>
  </si>
  <si>
    <t>DP7</t>
  </si>
  <si>
    <t>Pracoviště ÚSSZ (OSSZ / PSSZ / MSSZ Brno)</t>
  </si>
  <si>
    <t>25 5405 Mfin 5405 vzor č. 30, formulář je platný pro zdaňovací období započatá v roce 2025</t>
  </si>
  <si>
    <t>25 5405 MFin 5405 vzor č.30</t>
  </si>
  <si>
    <t>Příjmení,jméno,titul*)  manželky (manžela)</t>
  </si>
  <si>
    <t>Částka slevy podle § 35ba odst. 1</t>
  </si>
  <si>
    <t>Ve sloupci uveďte počet listů příloh.</t>
  </si>
  <si>
    <r>
      <rPr>
        <vertAlign val="superscript"/>
        <sz val="7"/>
        <rFont val="Arial CE"/>
        <charset val="238"/>
      </rPr>
      <t>*</t>
    </r>
    <r>
      <rPr>
        <sz val="7"/>
        <rFont val="Arial CE"/>
        <charset val="238"/>
      </rPr>
      <t>) Označené údaje jsou nepovinné.</t>
    </r>
  </si>
  <si>
    <t>ke dni  31.12.2025</t>
  </si>
  <si>
    <t>je součástí tiskopisu P Ř I Z N Á N Í k dani z příjmů fyzických osob za zdaňovací období 2025 - 25 5405 MFin 5405 vzor č. 30 („dále jen DAP")</t>
  </si>
  <si>
    <t>25 5405/P1 MFin 5405/P1 - vzor č. 21</t>
  </si>
  <si>
    <t>1) Z předtištěných možností v rámečku vyberte odpovídající variantu a označte křížkem.</t>
  </si>
  <si>
    <t>2) Údaje, pro které nedostačuje vyhrazené místo, uveďte na volný list a přiložte k tiskopisu.</t>
  </si>
  <si>
    <t>je součástí tiskopisu P Ř I Z N Á N Í k dani z příjmů fyzických osob za zdaňovací období 2025 - 25 5405 MFin 5405 vzor č. 30 (dále jen „DAP")</t>
  </si>
  <si>
    <t>25 5405/P2 MFin 5405/P2 - vzor č. 21</t>
  </si>
  <si>
    <t>je součástí tiskopisu P Ř I Z N Á N Í k dani z příjmů fyzických osob za zdaňovací období 2025 - 25 5405 MFin 5405 vzor č. 30 (dále jen „DAP").</t>
  </si>
  <si>
    <t>25 5405/P3 MFin 5405/P3 - vzor č. 21</t>
  </si>
  <si>
    <t>25 5405/P4 MFin 5405/P4 - vzor č. 12</t>
  </si>
  <si>
    <t>prohlašuji, že jsem v roce 2025 neuplatnil / neuplatnila daňové zvýhodnění na vyživované děti:</t>
  </si>
  <si>
    <t>Platební kalendář daňových a pojistných povinností 2026 - 2027</t>
  </si>
  <si>
    <t>DO DAŇOVÉHO PŘIZNÁNÍ K DANI Z PŘIJMŮ PRÁVNICKÝCH/FYZICKÝCH OSOB ZA ROK 2025</t>
  </si>
  <si>
    <t>použijte na úhradu záloh na pojistné na měsíce roku 2026</t>
  </si>
  <si>
    <t>F. Výše zálohy na důchodové pojištění (DP) a pojistného na nemocenské pojištění (NP) na rok 2026</t>
  </si>
  <si>
    <t>40. Daňové přiznání podáno po 1.4.2026 elektronicky</t>
  </si>
  <si>
    <t>41. Daňové přiznání podává po 1.4.2026 daňový poradce</t>
  </si>
  <si>
    <t>Přehled o příjmech a výdajích OSVČ za rok 2025</t>
  </si>
  <si>
    <t>13. V roce 2025 jsem vykonával/a SVČ</t>
  </si>
  <si>
    <t>D. Údaje o daňovém základu OSVČ za rok 2025 a další údaje podle ustanovení § 15 zákona č. 589/1992 Sb.</t>
  </si>
  <si>
    <t>E. Vedlejší SVČ - přihláška k účasti na DP OSVČ v roce 2025</t>
  </si>
  <si>
    <t>Vzhledem k tomu, že jsem v roce 2025 nedosáhl/a z výkonu vedlejší SVČ zákonem stanoveného příjmu pro povinnou účast na důchodovém pojištění OSVČ, přihlašuji se k této účasti dnem podání tohoto přehledu</t>
  </si>
  <si>
    <t>Přehled o příjmech a výdajích OSVČ za rok 2025 - 2.strana</t>
  </si>
  <si>
    <t>38. V roce 2025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</si>
  <si>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2025, a to do 8 dnů ode dne, kdy jsem se o těchto změnách dozvěděl/a.</t>
  </si>
  <si>
    <t>ČSSZ 89 324 24 I/2026</t>
  </si>
  <si>
    <t>ČSSZ -89 324 24 I/2026</t>
  </si>
  <si>
    <t>Pro rok 2025 uplatňuji nárok na slevu na pojistném pro pracujícího důchodce (viz. pokyny)</t>
  </si>
  <si>
    <t>32.2. Sleva na pojistném</t>
  </si>
  <si>
    <t>32.1. Pojistné na DP</t>
  </si>
  <si>
    <t>32.3. Pojistné po slevě</t>
  </si>
  <si>
    <t>V roce 2026:</t>
  </si>
  <si>
    <t>vykonávám / budu vykonávat SVČ                  Hlavní</t>
  </si>
  <si>
    <t>jsem / budu poplatníkem v paušálním režimu                                 ano</t>
  </si>
  <si>
    <t>splňuji podmínku pro měsíční VZ ve výši 25 % průměrné mzdy                    ano</t>
  </si>
  <si>
    <t>jsem/budu pracující důchodce, uplatňuji nárok na sazbu 22,7%   ano</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</si>
  <si>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</si>
  <si>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r>
      <t>Od 1.1.2026 nelze podávat přehled OSVČ na sociální pojištění ve formátu pdf, ČSSZ vyžaduje důsledně soubor v xml formátu.</t>
    </r>
    <r>
      <rPr>
        <sz val="11"/>
        <rFont val="Arial CE"/>
        <charset val="238"/>
      </rPr>
      <t xml:space="preserve"> Jelikož MS Excel neumožňuje exportovat z jednoho souboru dva různé xml soubory, umí tato šablona generovat pouze xml daňového přiznání - viz list XML_export. </t>
    </r>
    <r>
      <rPr>
        <b/>
        <sz val="11"/>
        <rFont val="Arial CE"/>
        <charset val="238"/>
      </rPr>
      <t>Pro získání přehledu OSVČ pro sociální pojištění v xml formátu je potřeba použít samostatnou šablonu "CSSZ_prehled_2025.xlsx"</t>
    </r>
    <r>
      <rPr>
        <sz val="11"/>
        <rFont val="Arial CE"/>
        <charset val="238"/>
      </rPr>
      <t>, kam lze nahrát údaje z listu "Přenos_ČSSZ" z této šablony.</t>
    </r>
  </si>
  <si>
    <r>
      <t xml:space="preserve">omezená verze - šablona umožňuje xml export - sledujte list </t>
    </r>
    <r>
      <rPr>
        <b/>
        <i/>
        <sz val="12"/>
        <rFont val="Arial CE"/>
        <charset val="238"/>
      </rPr>
      <t>XML_export</t>
    </r>
  </si>
  <si>
    <r>
      <t xml:space="preserve">1. přejděte na list </t>
    </r>
    <r>
      <rPr>
        <i/>
        <sz val="12"/>
        <rFont val="Arial CE"/>
        <charset val="238"/>
      </rPr>
      <t>ZAKL_DATA</t>
    </r>
    <r>
      <rPr>
        <sz val="12"/>
        <rFont val="Arial CE"/>
        <charset val="238"/>
      </rPr>
      <t xml:space="preserve"> a vyplňte údaje poplatníka - data se automaticky nakopírují na správná místa (a lze je využít i pro jiné šablony),</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</si>
  <si>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</si>
  <si>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</si>
  <si>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(řádek 42)</t>
  </si>
  <si>
    <t xml:space="preserve">* součet všech zdanitelných příjmů za zdaňovací období nepřekročí částku 800.000,- Kč </t>
  </si>
  <si>
    <t>Řádný</t>
  </si>
  <si>
    <t>Opravný</t>
  </si>
  <si>
    <t>Pracoviště ÚSSZ</t>
  </si>
  <si>
    <t>A</t>
  </si>
  <si>
    <t>B</t>
  </si>
  <si>
    <t>C</t>
  </si>
  <si>
    <t>D</t>
  </si>
  <si>
    <t>32.1</t>
  </si>
  <si>
    <t>32.2</t>
  </si>
  <si>
    <t>32.3</t>
  </si>
  <si>
    <t>E</t>
  </si>
  <si>
    <t>F</t>
  </si>
  <si>
    <t>G</t>
  </si>
  <si>
    <t>H</t>
  </si>
  <si>
    <t>39/40</t>
  </si>
  <si>
    <t>41/42</t>
  </si>
  <si>
    <t>I</t>
  </si>
  <si>
    <t>J</t>
  </si>
  <si>
    <t>L</t>
  </si>
  <si>
    <t>Plná moc</t>
  </si>
  <si>
    <t>FORMULÁŘ PRO NAČTENÍ DAT Z DAŇOVÉHO PŘIZNÁNÍ K DANI Z PŘÍJMU FYZICKÝCH</t>
  </si>
  <si>
    <t>OSOB DO PŘEHLEDU OSVČ PRO SOCIÁLNÍ POJIŠTĚNÍ - rok 2025</t>
  </si>
  <si>
    <t>2. v souběžně otevřeném souboru přehledu OSVČ "Přehled_ČSSZ_25.xlsx" jděte na list "Přenos ČSSZ", klikněte na horní červenou buňku  A1 a nakopírujte data stiskem kláves Ctrl+V.</t>
  </si>
  <si>
    <t xml:space="preserve">1. ve vyplněném souboru DzPUCZ25_xml_z.xlsx zvolte list "Přenos ČSSZ", jděte na horní červenou buňku A1, klávesami Ctrl+A označte oblast buněk A1 - P68 (černý křížek na červeném poli vpravo dole) a následně načtěte data přes klávesy Ctrl+C. </t>
  </si>
  <si>
    <t>Pobočka ČSSZ (OSSZ / PSSZ):</t>
  </si>
  <si>
    <t>Tuto samostatnou šablonu si lze stáhnout zde:</t>
  </si>
  <si>
    <t>Praha 10</t>
  </si>
  <si>
    <t>110</t>
  </si>
  <si>
    <t>PSSZ (110)</t>
  </si>
  <si>
    <t>Praha 1</t>
  </si>
  <si>
    <t>111</t>
  </si>
  <si>
    <t>PSSZ (111)</t>
  </si>
  <si>
    <t>Praha 2</t>
  </si>
  <si>
    <t>112</t>
  </si>
  <si>
    <t>PSSZ (112)</t>
  </si>
  <si>
    <t>Praha 3</t>
  </si>
  <si>
    <t>113</t>
  </si>
  <si>
    <t>PSSZ (113)</t>
  </si>
  <si>
    <t>Praha 4</t>
  </si>
  <si>
    <t>114</t>
  </si>
  <si>
    <t>PSSZ (114)</t>
  </si>
  <si>
    <t>Praha 5</t>
  </si>
  <si>
    <t>115</t>
  </si>
  <si>
    <t>PSSZ (115)</t>
  </si>
  <si>
    <t>Praha 6</t>
  </si>
  <si>
    <t>116</t>
  </si>
  <si>
    <t>PSSZ (116)</t>
  </si>
  <si>
    <t>Praha 7</t>
  </si>
  <si>
    <t>117</t>
  </si>
  <si>
    <t>PSSZ (117)</t>
  </si>
  <si>
    <t>Praha 8</t>
  </si>
  <si>
    <t>118</t>
  </si>
  <si>
    <t>PSSZ (118)</t>
  </si>
  <si>
    <t>Praha 9</t>
  </si>
  <si>
    <t>119</t>
  </si>
  <si>
    <t>PSSZ (119)</t>
  </si>
  <si>
    <t>Praha 5 - Jihozápadní Město</t>
  </si>
  <si>
    <t>121</t>
  </si>
  <si>
    <t>PSSZ (121)</t>
  </si>
  <si>
    <t>Praha 4 - Modřany</t>
  </si>
  <si>
    <t>122</t>
  </si>
  <si>
    <t>PSSZ (122)</t>
  </si>
  <si>
    <t>Praha 4 - Jižní Město</t>
  </si>
  <si>
    <t>123</t>
  </si>
  <si>
    <t>PSSZ (123)</t>
  </si>
  <si>
    <t>Benešov</t>
  </si>
  <si>
    <t>220</t>
  </si>
  <si>
    <t>OSSZ Benešov</t>
  </si>
  <si>
    <t>Beroun</t>
  </si>
  <si>
    <t>221</t>
  </si>
  <si>
    <t>OSSZ Beroun</t>
  </si>
  <si>
    <t>Kladno</t>
  </si>
  <si>
    <t>222</t>
  </si>
  <si>
    <t>OSSZ Kladno</t>
  </si>
  <si>
    <t>Kolín</t>
  </si>
  <si>
    <t>223</t>
  </si>
  <si>
    <t>OSSZ Kolín</t>
  </si>
  <si>
    <t>Kutná Hora</t>
  </si>
  <si>
    <t>224</t>
  </si>
  <si>
    <t>OSSZ Kutná Hora</t>
  </si>
  <si>
    <t>Mělník</t>
  </si>
  <si>
    <t>225</t>
  </si>
  <si>
    <t>OSSZ Mělník</t>
  </si>
  <si>
    <t>Mladá Boleslav</t>
  </si>
  <si>
    <t>226</t>
  </si>
  <si>
    <t>OSSZ Mladá Boleslav</t>
  </si>
  <si>
    <t>Nymburk</t>
  </si>
  <si>
    <t>227</t>
  </si>
  <si>
    <t>OSSZ Nymburk</t>
  </si>
  <si>
    <t>Praha-východ</t>
  </si>
  <si>
    <t>228</t>
  </si>
  <si>
    <t>OSSZ Praha-východ</t>
  </si>
  <si>
    <t>Praha-západ</t>
  </si>
  <si>
    <t>229</t>
  </si>
  <si>
    <t>OSSZ Praha-západ</t>
  </si>
  <si>
    <t>Příbram</t>
  </si>
  <si>
    <t>230</t>
  </si>
  <si>
    <t>OSSZ Příbram</t>
  </si>
  <si>
    <t>Rakovník</t>
  </si>
  <si>
    <t>231</t>
  </si>
  <si>
    <t>OSSZ Rakovník</t>
  </si>
  <si>
    <t>České Budějovice</t>
  </si>
  <si>
    <t>332</t>
  </si>
  <si>
    <t>OSSZ České Budějovice</t>
  </si>
  <si>
    <t>Český Krumlov</t>
  </si>
  <si>
    <t>333</t>
  </si>
  <si>
    <t>OSSZ Český Krumlov</t>
  </si>
  <si>
    <t>Jindřichův Hradec</t>
  </si>
  <si>
    <t>334</t>
  </si>
  <si>
    <t>OSSZ Jindřichův Hradec</t>
  </si>
  <si>
    <t>Pelhřimov</t>
  </si>
  <si>
    <t>335</t>
  </si>
  <si>
    <t>OSSZ Pelhřimov</t>
  </si>
  <si>
    <t>Písek</t>
  </si>
  <si>
    <t>336</t>
  </si>
  <si>
    <t>OSSZ Písek</t>
  </si>
  <si>
    <t>Prachatice</t>
  </si>
  <si>
    <t>337</t>
  </si>
  <si>
    <t>OSSZ Prachatice</t>
  </si>
  <si>
    <t>Strakonice</t>
  </si>
  <si>
    <t>338</t>
  </si>
  <si>
    <t>OSSZ Strakonice</t>
  </si>
  <si>
    <t>Tábor</t>
  </si>
  <si>
    <t>339</t>
  </si>
  <si>
    <t>OSSZ Tábor</t>
  </si>
  <si>
    <t>Domažlice</t>
  </si>
  <si>
    <t>440</t>
  </si>
  <si>
    <t>OSSZ Domažlice</t>
  </si>
  <si>
    <t>Cheb</t>
  </si>
  <si>
    <t>441</t>
  </si>
  <si>
    <t>OSSZ Cheb</t>
  </si>
  <si>
    <t>Karlovy Vary</t>
  </si>
  <si>
    <t>442</t>
  </si>
  <si>
    <t>OSSZ Karlovy Vary</t>
  </si>
  <si>
    <t>Klatovy</t>
  </si>
  <si>
    <t>443</t>
  </si>
  <si>
    <t>OSSZ Klatovy</t>
  </si>
  <si>
    <t>Plzeň-město</t>
  </si>
  <si>
    <t>444</t>
  </si>
  <si>
    <t>OSSZ Plzeň-město</t>
  </si>
  <si>
    <t>Plzeň-jih</t>
  </si>
  <si>
    <t>445</t>
  </si>
  <si>
    <t>OSSZ Plzeň-jih</t>
  </si>
  <si>
    <t>Plzeň-sever</t>
  </si>
  <si>
    <t>446</t>
  </si>
  <si>
    <t>OSSZ Plzeň-sever</t>
  </si>
  <si>
    <t>Rokycany</t>
  </si>
  <si>
    <t>447</t>
  </si>
  <si>
    <t>OSSZ Rokycany</t>
  </si>
  <si>
    <t>Sokolov</t>
  </si>
  <si>
    <t>448</t>
  </si>
  <si>
    <t>OSSZ Sokolov</t>
  </si>
  <si>
    <t>Tachov</t>
  </si>
  <si>
    <t>449</t>
  </si>
  <si>
    <t>OSSZ Tachov</t>
  </si>
  <si>
    <t>Česká Lípa</t>
  </si>
  <si>
    <t>550</t>
  </si>
  <si>
    <t>OSSZ Česká Lípa</t>
  </si>
  <si>
    <t>Děčín</t>
  </si>
  <si>
    <t>551</t>
  </si>
  <si>
    <t>OSSZ Děčín</t>
  </si>
  <si>
    <t>Chomutov</t>
  </si>
  <si>
    <t>552</t>
  </si>
  <si>
    <t>OSSZ Chomutov</t>
  </si>
  <si>
    <t>Jablonec nad Nisou</t>
  </si>
  <si>
    <t>553</t>
  </si>
  <si>
    <t>OSSZ Jablonec nad Nisou</t>
  </si>
  <si>
    <t>Liberec</t>
  </si>
  <si>
    <t>554</t>
  </si>
  <si>
    <t>OSSZ Liberec</t>
  </si>
  <si>
    <t>Litoměřice</t>
  </si>
  <si>
    <t>555</t>
  </si>
  <si>
    <t>OSSZ Litoměřice</t>
  </si>
  <si>
    <t>Louny</t>
  </si>
  <si>
    <t>556</t>
  </si>
  <si>
    <t>OSSZ Louny</t>
  </si>
  <si>
    <t>Most</t>
  </si>
  <si>
    <t>557</t>
  </si>
  <si>
    <t>OSSZ Most</t>
  </si>
  <si>
    <t>Teplice</t>
  </si>
  <si>
    <t>558</t>
  </si>
  <si>
    <t>OSSZ Teplice</t>
  </si>
  <si>
    <t>Ústí nad Labem</t>
  </si>
  <si>
    <t>559</t>
  </si>
  <si>
    <t>OSSZ Ústí nad Labem</t>
  </si>
  <si>
    <t>Havlíčkův Brod</t>
  </si>
  <si>
    <t>660</t>
  </si>
  <si>
    <t>OSSZ Havlíčkův Brod</t>
  </si>
  <si>
    <t>Hradec Králové</t>
  </si>
  <si>
    <t>661</t>
  </si>
  <si>
    <t>OSSZ Hradec Králové</t>
  </si>
  <si>
    <t>Chrudim</t>
  </si>
  <si>
    <t>662</t>
  </si>
  <si>
    <t>OSSZ Chrudim</t>
  </si>
  <si>
    <t>Jičín</t>
  </si>
  <si>
    <t>663</t>
  </si>
  <si>
    <t>OSSZ Jičín</t>
  </si>
  <si>
    <t>Náchod</t>
  </si>
  <si>
    <t>664</t>
  </si>
  <si>
    <t>OSSZ Náchod</t>
  </si>
  <si>
    <t>Pardubice</t>
  </si>
  <si>
    <t>665</t>
  </si>
  <si>
    <t>OSSZ Pardubice</t>
  </si>
  <si>
    <t>Rychnov nad Kněžnou</t>
  </si>
  <si>
    <t>666</t>
  </si>
  <si>
    <t>OSSZ Rychnov nad Kněžnou</t>
  </si>
  <si>
    <t>Semily</t>
  </si>
  <si>
    <t>667</t>
  </si>
  <si>
    <t>OSSZ Semily</t>
  </si>
  <si>
    <t>Svitavy</t>
  </si>
  <si>
    <t>668</t>
  </si>
  <si>
    <t>OSSZ Svitavy</t>
  </si>
  <si>
    <t>Trutnov</t>
  </si>
  <si>
    <t>669</t>
  </si>
  <si>
    <t>OSSZ Trutnov</t>
  </si>
  <si>
    <t>Ústí nad Orlicí</t>
  </si>
  <si>
    <t>670</t>
  </si>
  <si>
    <t>OSSZ Ústí nad Orlicí</t>
  </si>
  <si>
    <t>Blansko</t>
  </si>
  <si>
    <t>771</t>
  </si>
  <si>
    <t>OSSZ Blansko</t>
  </si>
  <si>
    <t>Brno</t>
  </si>
  <si>
    <t>772</t>
  </si>
  <si>
    <t>MSSZ Brno</t>
  </si>
  <si>
    <t>Brno-venkov</t>
  </si>
  <si>
    <t>773</t>
  </si>
  <si>
    <t>OSSZ Brno-venkov</t>
  </si>
  <si>
    <t>Břeclav</t>
  </si>
  <si>
    <t>774</t>
  </si>
  <si>
    <t>OSSZ Břeclav</t>
  </si>
  <si>
    <t>Zlín</t>
  </si>
  <si>
    <t>775</t>
  </si>
  <si>
    <t>OSSZ Zlín</t>
  </si>
  <si>
    <t>Hodonín</t>
  </si>
  <si>
    <t>776</t>
  </si>
  <si>
    <t>OSSZ Hodonín</t>
  </si>
  <si>
    <t>Jihlava</t>
  </si>
  <si>
    <t>777</t>
  </si>
  <si>
    <t>OSSZ Jihlava</t>
  </si>
  <si>
    <t>Kroměříž</t>
  </si>
  <si>
    <t>778</t>
  </si>
  <si>
    <t>OSSZ Kroměříž</t>
  </si>
  <si>
    <t>Prostějov</t>
  </si>
  <si>
    <t>779</t>
  </si>
  <si>
    <t>OSSZ Prostějov</t>
  </si>
  <si>
    <t>Třebíč</t>
  </si>
  <si>
    <t>780</t>
  </si>
  <si>
    <t>OSSZ Třebíč</t>
  </si>
  <si>
    <t>Uherské Hradiště</t>
  </si>
  <si>
    <t>781</t>
  </si>
  <si>
    <t>OSSZ Uherské Hradiště</t>
  </si>
  <si>
    <t>Vyškov</t>
  </si>
  <si>
    <t>782</t>
  </si>
  <si>
    <t>OSSZ Vyškov</t>
  </si>
  <si>
    <t>Znojmo</t>
  </si>
  <si>
    <t>783</t>
  </si>
  <si>
    <t>OSSZ Znojmo</t>
  </si>
  <si>
    <t>Žďár nad Sázavou</t>
  </si>
  <si>
    <t>784</t>
  </si>
  <si>
    <t>OSSZ Žďár nad Sázavou</t>
  </si>
  <si>
    <t>Jeseník</t>
  </si>
  <si>
    <t>884</t>
  </si>
  <si>
    <t>OSSZ Jeseník</t>
  </si>
  <si>
    <t>Bruntál</t>
  </si>
  <si>
    <t>885</t>
  </si>
  <si>
    <t>OSSZ Bruntál</t>
  </si>
  <si>
    <t>Frýdek-Místek</t>
  </si>
  <si>
    <t>886</t>
  </si>
  <si>
    <t>OSSZ Frýdek-Místek</t>
  </si>
  <si>
    <t>Karviná</t>
  </si>
  <si>
    <t>887</t>
  </si>
  <si>
    <t>OSSZ Karviná</t>
  </si>
  <si>
    <t>Nový Jičín</t>
  </si>
  <si>
    <t>888</t>
  </si>
  <si>
    <t>OSSZ Nový Jičín</t>
  </si>
  <si>
    <t>Olomouc</t>
  </si>
  <si>
    <t>889</t>
  </si>
  <si>
    <t>OSSZ Olomouc</t>
  </si>
  <si>
    <t>Opava</t>
  </si>
  <si>
    <t>890</t>
  </si>
  <si>
    <t>OSSZ Opava</t>
  </si>
  <si>
    <t>Ostrava</t>
  </si>
  <si>
    <t>891</t>
  </si>
  <si>
    <t>OSSZ Ostrava</t>
  </si>
  <si>
    <t>Přerov</t>
  </si>
  <si>
    <t>892</t>
  </si>
  <si>
    <t>OSSZ Přerov</t>
  </si>
  <si>
    <t>Šumperk</t>
  </si>
  <si>
    <t>893</t>
  </si>
  <si>
    <t>OSSZ Šumperk</t>
  </si>
  <si>
    <t>Vsetín</t>
  </si>
  <si>
    <t>894</t>
  </si>
  <si>
    <t>OSSZ Vsetín</t>
  </si>
  <si>
    <r>
      <rPr>
        <b/>
        <sz val="11"/>
        <rFont val="Arial CE"/>
        <charset val="238"/>
      </rPr>
      <t>Finanční úřad</t>
    </r>
    <r>
      <rPr>
        <sz val="11"/>
        <rFont val="Arial CE"/>
        <charset val="238"/>
      </rPr>
      <t xml:space="preserve"> (list ZAKL_DATA, položka B13, která se přenáší na list DAP1, položka A3)</t>
    </r>
  </si>
  <si>
    <r>
      <rPr>
        <b/>
        <sz val="11"/>
        <rFont val="Arial CE"/>
        <charset val="238"/>
      </rPr>
      <t>Územní pracoviště</t>
    </r>
    <r>
      <rPr>
        <sz val="11"/>
        <rFont val="Arial CE"/>
        <charset val="238"/>
      </rPr>
      <t xml:space="preserve"> (list ZAKL_DATA, položka B14, která se přenáší na list DAP1, položka A5)</t>
    </r>
  </si>
  <si>
    <r>
      <rPr>
        <b/>
        <sz val="11"/>
        <rFont val="Arial CE"/>
        <charset val="238"/>
      </rPr>
      <t>Stát</t>
    </r>
    <r>
      <rPr>
        <sz val="11"/>
        <rFont val="Arial CE"/>
        <charset val="238"/>
      </rPr>
      <t xml:space="preserve"> (list ZAKL_DATA, položka B20, která se přenáší na list DAP1, položka A36)</t>
    </r>
  </si>
  <si>
    <r>
      <rPr>
        <b/>
        <sz val="11"/>
        <rFont val="Arial CE"/>
        <charset val="238"/>
      </rPr>
      <t>Pobočka ČSSZ (OSSZ / PSSZ):</t>
    </r>
    <r>
      <rPr>
        <sz val="11"/>
        <rFont val="Arial CE"/>
        <charset val="238"/>
      </rPr>
      <t xml:space="preserve"> (list ZAKL_DATA, položka B21, která se přenáší na list SP1, položka A6)</t>
    </r>
  </si>
  <si>
    <r>
      <rPr>
        <b/>
        <sz val="11"/>
        <rFont val="Arial CE"/>
        <charset val="238"/>
      </rPr>
      <t>Předmět podnikání / Hlavní ekonomická činnost</t>
    </r>
    <r>
      <rPr>
        <sz val="11"/>
        <rFont val="Arial CE"/>
        <charset val="238"/>
      </rPr>
      <t xml:space="preserve">  (list ZAKL_DATA, položka B29 která se přenáší na list 1Př1, položka A30)</t>
    </r>
  </si>
  <si>
    <r>
      <t xml:space="preserve">Data v buňkách B13, B14, B20, B21 a B29 je potřeba </t>
    </r>
    <r>
      <rPr>
        <b/>
        <sz val="11"/>
        <rFont val="Arial CE"/>
        <charset val="238"/>
      </rPr>
      <t>vyplnit pomocí rozevíracího seznamu</t>
    </r>
    <r>
      <rPr>
        <sz val="11"/>
        <rFont val="Arial CE"/>
        <charset val="23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</si>
  <si>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t>Přehled</t>
  </si>
  <si>
    <t>Datum převzetí, razítko a podpis pracovníka VZP ČR</t>
  </si>
  <si>
    <t>Poplatník je pojištěn u:</t>
  </si>
  <si>
    <t>OSVČ</t>
  </si>
  <si>
    <t>VZP</t>
  </si>
  <si>
    <t>Jiné ZP</t>
  </si>
  <si>
    <t xml:space="preserve">za rok </t>
  </si>
  <si>
    <t>VZP - kód 111</t>
  </si>
  <si>
    <t>Přehled o výši daňového základu ze samostatné výdělečné činnosti a zaplacených zálohách na pojistné</t>
  </si>
  <si>
    <t>Typ přehledu</t>
  </si>
  <si>
    <t>(§24 odst. 2 a 3 zák. č. 592/1992 Sb ve znění pozdějších předpisů)</t>
  </si>
  <si>
    <t>Formulář bude zpracován elektronicky. Vyplňujte jej, prosím, předepsaným typem písma Courier New Bold 11. Zaškrtávací pole označte křížkem.</t>
  </si>
  <si>
    <t>1. Identifikace pojištěnce</t>
  </si>
  <si>
    <t>Číslo popisné / číslo orientační</t>
  </si>
  <si>
    <t>Číslo pojištěnce (rodné číslo)</t>
  </si>
  <si>
    <t xml:space="preserve">PSČ </t>
  </si>
  <si>
    <t>Identifikační číslo (IČO)</t>
  </si>
  <si>
    <t>Bankovní spojení: (předčíslí účtu - číso účtu / kód banky)</t>
  </si>
  <si>
    <t>Telefon</t>
  </si>
  <si>
    <t>E-mail</t>
  </si>
  <si>
    <t>2. Prohlášení pojištěnce</t>
  </si>
  <si>
    <t>V roce 2025 jsem byl/a poplatníkem v paušálním režimu v měsících:</t>
  </si>
  <si>
    <t>Mám povinnost podávat daňové přiznání do 1.4.2026</t>
  </si>
  <si>
    <t>Daňové přiznání podávám po 1.4.2026 elektronicky</t>
  </si>
  <si>
    <t>V roce 2025 pro mne neplatila povinnost hradit zálohy na pojistné v měsících:</t>
  </si>
  <si>
    <t>a) zaměstnání</t>
  </si>
  <si>
    <t>b) nemoc OSVČ</t>
  </si>
  <si>
    <t>Daňové přiznání za mne po 1.4.2026 podává daňový poradce</t>
  </si>
  <si>
    <t>Důvod:</t>
  </si>
  <si>
    <t>V roce 2025 pro mne nebyl stanoven minimální vyměřovací základ v měsících:</t>
  </si>
  <si>
    <t>Nemám povinnost podávat daňové přiznání</t>
  </si>
  <si>
    <t>Daňové přiznání podávám s odkladem</t>
  </si>
  <si>
    <t>Pro Důvod podle písmena f) uveďte</t>
  </si>
  <si>
    <t>Zaškrtněte měsíc a písmeno podle poučení - pro písmeno f) uveďte RČ dětí:</t>
  </si>
  <si>
    <t>4. Pojistné OSVČ</t>
  </si>
  <si>
    <t>5. Přeplatek (Doplatek)</t>
  </si>
  <si>
    <t>Daňový základ</t>
  </si>
  <si>
    <t>Úhrn zaplacených záloh na pojistné v roce 2025</t>
  </si>
  <si>
    <t>Řádek 3</t>
  </si>
  <si>
    <t>Řádek 41</t>
  </si>
  <si>
    <t>Počet měsíců trvání samostatné výdělečné činnosti v roce 2025</t>
  </si>
  <si>
    <t>Přeplatek (Doplatek): Řádek 41 - Řádek 16</t>
  </si>
  <si>
    <t>Řádek 4</t>
  </si>
  <si>
    <t>Řádek 43</t>
  </si>
  <si>
    <t>Z Řádku 4 počet měsíců , kdy byla OSVČ pojištěna u VZP ČR</t>
  </si>
  <si>
    <t>Řádek 5</t>
  </si>
  <si>
    <t xml:space="preserve">Přeplatek </t>
  </si>
  <si>
    <r>
      <rPr>
        <b/>
        <sz val="8"/>
        <color rgb="FFFF0000"/>
        <rFont val="Arial"/>
        <family val="2"/>
        <charset val="238"/>
      </rPr>
      <t>NEŽÁDÁM o vrácení přeplatku</t>
    </r>
    <r>
      <rPr>
        <b/>
        <sz val="6"/>
        <color rgb="FFFF0000"/>
        <rFont val="Arial"/>
        <family val="2"/>
        <charset val="238"/>
      </rPr>
      <t xml:space="preserve"> (přeplatek bude použit na úhrady záloh v dalším období)</t>
    </r>
  </si>
  <si>
    <t>Počet měsíců, ve kterých pro OSVČ platil minimální vyměřovací základ</t>
  </si>
  <si>
    <r>
      <rPr>
        <b/>
        <sz val="8"/>
        <color rgb="FFFF0000"/>
        <rFont val="Arial"/>
        <family val="2"/>
        <charset val="238"/>
      </rPr>
      <t xml:space="preserve">ŽÁDÁM </t>
    </r>
    <r>
      <rPr>
        <b/>
        <sz val="7"/>
        <color rgb="FFFF0000"/>
        <rFont val="Arial"/>
        <family val="2"/>
        <charset val="238"/>
      </rPr>
      <t>o vrácení přepl. ve výši:</t>
    </r>
  </si>
  <si>
    <t>Řádek 6</t>
  </si>
  <si>
    <t>Přeplatek zašlete:</t>
  </si>
  <si>
    <t>na bankovní účet</t>
  </si>
  <si>
    <t xml:space="preserve">23 278,50 Kč x Řádek 6         </t>
  </si>
  <si>
    <t>poštovní poukázkou</t>
  </si>
  <si>
    <t>Řádek 9</t>
  </si>
  <si>
    <t>6. Nová výše zálohy</t>
  </si>
  <si>
    <t>Vyměřovací základ OSVČ za rok 2025: 0,50 x Řádek 3 (pro &lt; Řádek 9, zapíše se Řádek 9)</t>
  </si>
  <si>
    <t>0,135 x 0,5 x Řádek 3 / Řádek 4 (zaokr. na Kč nahoru)</t>
  </si>
  <si>
    <t>Řádek 14</t>
  </si>
  <si>
    <t>Řádek 51</t>
  </si>
  <si>
    <t>Pojistné za rok 2025: 0,135 x (Řádek 14 x Řádek 5) / Řádek 4 (zaokr. na Kč nahoru)</t>
  </si>
  <si>
    <t xml:space="preserve">      Typ zálohy                                                               Nová výše zálohy</t>
  </si>
  <si>
    <t>Typ zálohy</t>
  </si>
  <si>
    <t>Řádek 16</t>
  </si>
  <si>
    <t xml:space="preserve">a) 3306 Kč </t>
  </si>
  <si>
    <t>b) výpočet</t>
  </si>
  <si>
    <t>c) 0 Kč</t>
  </si>
  <si>
    <t>7. Datum vyplnění a podpis pojištěnce</t>
  </si>
  <si>
    <t>Prohlašuji, že všechny údaje v tomto PŘEHLEDU jsou pravdivé a že ohlásím VZP ČR všechny změny údajů, a to do 8 dnů ode dne, kdy jsem se o změněné skutečnosti dozvěděl.</t>
  </si>
  <si>
    <t>Podpis pojištěnce</t>
  </si>
  <si>
    <t>VZP 87.51/2025</t>
  </si>
  <si>
    <t>Vyplněno dne</t>
  </si>
  <si>
    <t>zde vložte jméno zdravotní pojišťovny včetně jejího kodu</t>
  </si>
  <si>
    <r>
      <rPr>
        <b/>
        <sz val="8"/>
        <rFont val="Arial"/>
        <family val="2"/>
        <charset val="238"/>
      </rPr>
      <t>NEŽÁDÁM o vrácení přeplatku</t>
    </r>
    <r>
      <rPr>
        <b/>
        <sz val="6"/>
        <rFont val="Arial"/>
        <family val="2"/>
        <charset val="238"/>
      </rPr>
      <t xml:space="preserve"> (přeplatek bude použit na úhrady záloh v dalším období)</t>
    </r>
  </si>
  <si>
    <r>
      <rPr>
        <b/>
        <sz val="8"/>
        <rFont val="Arial"/>
        <family val="2"/>
        <charset val="238"/>
      </rPr>
      <t xml:space="preserve">ŽÁDÁM </t>
    </r>
    <r>
      <rPr>
        <b/>
        <sz val="7"/>
        <rFont val="Arial"/>
        <family val="2"/>
        <charset val="238"/>
      </rPr>
      <t>o vrácení přepl. ve výši:</t>
    </r>
  </si>
  <si>
    <t>ZP 87.51/2025</t>
  </si>
  <si>
    <t>Datum převzetí, razítko a podpis pracovníka ZP</t>
  </si>
  <si>
    <t>Z Řádku 4 počet měsíců , kdy byla OSVČ pojištěna u ZP</t>
  </si>
  <si>
    <t>Prohlašuji, že všechny údaje v tomto PŘEHLEDU jsou pravdivé a že ohlásím ZP všechny změny údajů, a to do 8 dnů ode dne, kdy jsem se o změněné skutečnosti dozvěděl.</t>
  </si>
  <si>
    <t>82100</t>
  </si>
  <si>
    <t>Ambulantní nebo terénní sociální služby pro seniory nebo osoby se zdravotním postižením</t>
  </si>
  <si>
    <t>88100</t>
  </si>
  <si>
    <t>71110</t>
  </si>
  <si>
    <t>82920</t>
  </si>
  <si>
    <t>Bezpečnostní činnosti j. n.</t>
  </si>
  <si>
    <t>80090</t>
  </si>
  <si>
    <t>Cateringové činnosti</t>
  </si>
  <si>
    <t>56210</t>
  </si>
  <si>
    <t>64110</t>
  </si>
  <si>
    <t>Činění, úprava, barvení usní a kožešin</t>
  </si>
  <si>
    <t>15110</t>
  </si>
  <si>
    <t>Činnosti agentur zprostředkujících práci na přechodnou dobu a ostatní poskytování lidských zdrojů</t>
  </si>
  <si>
    <t>78200</t>
  </si>
  <si>
    <t>78100</t>
  </si>
  <si>
    <t>Činnosti archivů</t>
  </si>
  <si>
    <t>91120</t>
  </si>
  <si>
    <t>85530</t>
  </si>
  <si>
    <t>91410</t>
  </si>
  <si>
    <t>Činnosti call center</t>
  </si>
  <si>
    <t>82200</t>
  </si>
  <si>
    <t>79110</t>
  </si>
  <si>
    <t>79120</t>
  </si>
  <si>
    <t>Činnosti denních lázní, saun a parních lázní</t>
  </si>
  <si>
    <t>96230</t>
  </si>
  <si>
    <t>97000</t>
  </si>
  <si>
    <t>Činnosti domácností poskytujících blíže neurčené služby pro vlastní potřebu</t>
  </si>
  <si>
    <t>98200</t>
  </si>
  <si>
    <t>Činnosti domácností produkujících blíže neurčené výrobky pro vlastní potřebu</t>
  </si>
  <si>
    <t>98100</t>
  </si>
  <si>
    <t>94995</t>
  </si>
  <si>
    <t>Činnosti exteritoriálních organizací a institucí</t>
  </si>
  <si>
    <t>99000</t>
  </si>
  <si>
    <t>93130</t>
  </si>
  <si>
    <t>Činnosti fyzioterapeutů</t>
  </si>
  <si>
    <t>86950</t>
  </si>
  <si>
    <t>92000</t>
  </si>
  <si>
    <t>64210</t>
  </si>
  <si>
    <t>Činnosti investičních fondů peněžního trhu a investičních fondů jiných než peněžního trhu</t>
  </si>
  <si>
    <t>64310</t>
  </si>
  <si>
    <t>Činnosti jiných organizací sdružujících osoby za účelem prosazování společných a veřejných zájmů j. n.</t>
  </si>
  <si>
    <t>94999</t>
  </si>
  <si>
    <t>Činnosti knihoven</t>
  </si>
  <si>
    <t>91110</t>
  </si>
  <si>
    <t>Činnosti makléřů a agentů v oblasti elektrické energie a zemního plynu</t>
  </si>
  <si>
    <t>35400</t>
  </si>
  <si>
    <t>Činnosti muzeí a galerií</t>
  </si>
  <si>
    <t>91210</t>
  </si>
  <si>
    <t>94910</t>
  </si>
  <si>
    <t>94997</t>
  </si>
  <si>
    <t>94200</t>
  </si>
  <si>
    <t>94991</t>
  </si>
  <si>
    <t>Činnosti organizací na ochranu a zlepšení postavení etnických, menšinových a jiných speciálních skupin</t>
  </si>
  <si>
    <t>94996</t>
  </si>
  <si>
    <t>94992</t>
  </si>
  <si>
    <t>94993</t>
  </si>
  <si>
    <t>94110</t>
  </si>
  <si>
    <t>Činnosti pojišťovacích makléřů a agentů</t>
  </si>
  <si>
    <t>66220</t>
  </si>
  <si>
    <t>Činnosti politických organizací</t>
  </si>
  <si>
    <t>94920</t>
  </si>
  <si>
    <t>94120</t>
  </si>
  <si>
    <t>91420</t>
  </si>
  <si>
    <t>Činnosti psychologů a psychoterapeutů, kromě lékařů</t>
  </si>
  <si>
    <t>86930</t>
  </si>
  <si>
    <t>73110</t>
  </si>
  <si>
    <t>Činnosti řízení podniků</t>
  </si>
  <si>
    <t>70100</t>
  </si>
  <si>
    <t>Činnosti související s diagnostickým zobrazováním a zdravotnické laboratorní činnosti</t>
  </si>
  <si>
    <t>86910</t>
  </si>
  <si>
    <t>Činnosti související s kabelovou, bezdrátovou a satelitní telekomunikační sítí</t>
  </si>
  <si>
    <t>61100</t>
  </si>
  <si>
    <t>52230</t>
  </si>
  <si>
    <t>37000</t>
  </si>
  <si>
    <t>52210</t>
  </si>
  <si>
    <t>81300</t>
  </si>
  <si>
    <t>52220</t>
  </si>
  <si>
    <t>93120</t>
  </si>
  <si>
    <t>94994</t>
  </si>
  <si>
    <t>Činnosti svěřenských fondů, majetkových a agenturních účtů</t>
  </si>
  <si>
    <t>64320</t>
  </si>
  <si>
    <t>Činnosti účelových finančních společností</t>
  </si>
  <si>
    <t>64220</t>
  </si>
  <si>
    <t>Činnosti v oblasti grafického designu a vizuální komunikace</t>
  </si>
  <si>
    <t>74120</t>
  </si>
  <si>
    <t>Činnosti v oblasti módního designu</t>
  </si>
  <si>
    <t>74112</t>
  </si>
  <si>
    <t>Činnosti v oblasti neživotního pojištění</t>
  </si>
  <si>
    <t>65120</t>
  </si>
  <si>
    <t>84220</t>
  </si>
  <si>
    <t>Činnosti v oblasti povinného sociální zabezpečení</t>
  </si>
  <si>
    <t>84300</t>
  </si>
  <si>
    <t>Činnosti v oblasti požární ochrany</t>
  </si>
  <si>
    <t>84250</t>
  </si>
  <si>
    <t>Činnosti v oblasti průmyslového designu</t>
  </si>
  <si>
    <t>74111</t>
  </si>
  <si>
    <t>Činnosti v oblasti přeprodeje telekomunikačních služeb a zprostředkování telekomunikačních činností</t>
  </si>
  <si>
    <t>61200</t>
  </si>
  <si>
    <t>Činnosti v oblasti scénických umění</t>
  </si>
  <si>
    <t>90200</t>
  </si>
  <si>
    <t>Činnosti v oblasti sportu j. n.</t>
  </si>
  <si>
    <t>93190</t>
  </si>
  <si>
    <t>84230</t>
  </si>
  <si>
    <t>Činnosti v oblasti tradiční, doplňkové a alternativní medicíny</t>
  </si>
  <si>
    <t>86960</t>
  </si>
  <si>
    <t>84240</t>
  </si>
  <si>
    <t>Činnosti v oblasti vztahů s veřejností a komunikace</t>
  </si>
  <si>
    <t>73300</t>
  </si>
  <si>
    <t>Činnosti v oblasti zábavy a rekreace j. n.</t>
  </si>
  <si>
    <t>93290</t>
  </si>
  <si>
    <t>84210</t>
  </si>
  <si>
    <t>Činnosti v oblasti zprostředkování a marketingu patentů</t>
  </si>
  <si>
    <t>74910</t>
  </si>
  <si>
    <t>Činnosti v oblasti životního pojištění</t>
  </si>
  <si>
    <t>65110</t>
  </si>
  <si>
    <t>Činnosti webových vyhledávacích portálů</t>
  </si>
  <si>
    <t>63910</t>
  </si>
  <si>
    <t>Činnosti zábavních parků</t>
  </si>
  <si>
    <t>93210</t>
  </si>
  <si>
    <t>64923</t>
  </si>
  <si>
    <t>Činnosti zpravodajských kanceláří a agentur</t>
  </si>
  <si>
    <t>60310</t>
  </si>
  <si>
    <t>Dálková železniční osobní doprava</t>
  </si>
  <si>
    <t>49110</t>
  </si>
  <si>
    <t>43110</t>
  </si>
  <si>
    <t>Destilace, rektifikace a míchaní lihovin</t>
  </si>
  <si>
    <t>11010</t>
  </si>
  <si>
    <t>Developerské činnosti</t>
  </si>
  <si>
    <t>68120</t>
  </si>
  <si>
    <t>Distribuce elektřiny</t>
  </si>
  <si>
    <t>35140</t>
  </si>
  <si>
    <t>Distribuce filmů a videozáznamů</t>
  </si>
  <si>
    <t>59130</t>
  </si>
  <si>
    <t>Distribuce plynných paliv prostřednictvím sítí</t>
  </si>
  <si>
    <t>35220</t>
  </si>
  <si>
    <t>Distribuce zvukových záznamů</t>
  </si>
  <si>
    <t>60102</t>
  </si>
  <si>
    <t>Dobývání kamene, vápence, sádrovce, břidlice a jiného kamene, také pro výtvarné účely</t>
  </si>
  <si>
    <t>08110</t>
  </si>
  <si>
    <t>43210</t>
  </si>
  <si>
    <t>64924</t>
  </si>
  <si>
    <t>64910</t>
  </si>
  <si>
    <t>74200</t>
  </si>
  <si>
    <t>Hudební tvorba</t>
  </si>
  <si>
    <t>90112</t>
  </si>
  <si>
    <t>01470</t>
  </si>
  <si>
    <t>Chov koní a ostatních koňovitých</t>
  </si>
  <si>
    <t>01430</t>
  </si>
  <si>
    <t>01410</t>
  </si>
  <si>
    <t>Chov ostatního skotu a buvolů</t>
  </si>
  <si>
    <t>01420</t>
  </si>
  <si>
    <t>01480</t>
  </si>
  <si>
    <t>01450</t>
  </si>
  <si>
    <t>01460</t>
  </si>
  <si>
    <t>01440</t>
  </si>
  <si>
    <t>82910</t>
  </si>
  <si>
    <t>Instalace izolací</t>
  </si>
  <si>
    <t>43230</t>
  </si>
  <si>
    <t>33200</t>
  </si>
  <si>
    <t>Instalace tepelných, chladicích a klimatizačních zařízení a rozvodů</t>
  </si>
  <si>
    <t>43222</t>
  </si>
  <si>
    <t>Instalace vodovodních, odpadních a plynových zařízení a rozvodů</t>
  </si>
  <si>
    <t>43221</t>
  </si>
  <si>
    <t>71120</t>
  </si>
  <si>
    <t>Jiné finanční činnosti, kromě pojišťování a penzijního financování j. n.</t>
  </si>
  <si>
    <t>64999</t>
  </si>
  <si>
    <t>85599</t>
  </si>
  <si>
    <t>Kadeřnické a holičské činnosti</t>
  </si>
  <si>
    <t>96210</t>
  </si>
  <si>
    <t>Kempy a parkoviště pro rekreační vozidla</t>
  </si>
  <si>
    <t>55300</t>
  </si>
  <si>
    <t>Kolejová nákladní doprava</t>
  </si>
  <si>
    <t>49200</t>
  </si>
  <si>
    <t>Kombinované podpůrné činnosti</t>
  </si>
  <si>
    <t>81100</t>
  </si>
  <si>
    <t>Konečná úprava dřevěných výrobků</t>
  </si>
  <si>
    <t>16270</t>
  </si>
  <si>
    <t>13300</t>
  </si>
  <si>
    <t>Konzervování, restaurování a jiné podpůrné činnosti pro kulturní dědictví</t>
  </si>
  <si>
    <t>91300</t>
  </si>
  <si>
    <t>Kosmetické a podobné činnosti</t>
  </si>
  <si>
    <t>96220</t>
  </si>
  <si>
    <t>51220</t>
  </si>
  <si>
    <t>Kování a tváření kovů a prášková metalurgie</t>
  </si>
  <si>
    <t>25400</t>
  </si>
  <si>
    <t>Leasing duševního vlastnictví a podobných produktů, kromě děl chráněných autorským právem</t>
  </si>
  <si>
    <t>77400</t>
  </si>
  <si>
    <t>51210</t>
  </si>
  <si>
    <t>51100</t>
  </si>
  <si>
    <t>Literární tvorba</t>
  </si>
  <si>
    <t>90111</t>
  </si>
  <si>
    <t>Logistické činnosti</t>
  </si>
  <si>
    <t>52250</t>
  </si>
  <si>
    <t>01700</t>
  </si>
  <si>
    <t>Lůžková zdravotní péče</t>
  </si>
  <si>
    <t>86100</t>
  </si>
  <si>
    <t>Maloobchod s díly a příslušenstvím pro motorová vozidla</t>
  </si>
  <si>
    <t>47820</t>
  </si>
  <si>
    <t>Maloobchod s elektrospotřebiči a elektronikou převážně pro domácnost</t>
  </si>
  <si>
    <t>47540</t>
  </si>
  <si>
    <t>Maloobchod s farmaceutickými výrobky</t>
  </si>
  <si>
    <t>47730</t>
  </si>
  <si>
    <t>47770</t>
  </si>
  <si>
    <t>47640</t>
  </si>
  <si>
    <t>47610</t>
  </si>
  <si>
    <t>47530</t>
  </si>
  <si>
    <t>47750</t>
  </si>
  <si>
    <t>Maloobchod s květinami, rostlinami, hnojivy, zvířaty pro zájmový chov a krmivy pro ně</t>
  </si>
  <si>
    <t>47760</t>
  </si>
  <si>
    <t>47220</t>
  </si>
  <si>
    <t>Maloobchod s motocykly a díly a příslušenstvím pro motocykly</t>
  </si>
  <si>
    <t>47830</t>
  </si>
  <si>
    <t>Maloobchod s motorovými vozidly</t>
  </si>
  <si>
    <t>47810</t>
  </si>
  <si>
    <t>Maloobchod s nábytkem, osvětlovacími zařízeními, nádobím a ostatními výrobky převážně pro domácnost</t>
  </si>
  <si>
    <t>47550</t>
  </si>
  <si>
    <t>47250</t>
  </si>
  <si>
    <t>Maloobchod s novinami a ostatními periodickými publikacemi</t>
  </si>
  <si>
    <t>47621</t>
  </si>
  <si>
    <t>47720</t>
  </si>
  <si>
    <t>47710</t>
  </si>
  <si>
    <t>Maloobchod s ostatním novým zbožím</t>
  </si>
  <si>
    <t>47780</t>
  </si>
  <si>
    <t>Maloobchod s ostatním použitým zbožím</t>
  </si>
  <si>
    <t>47799</t>
  </si>
  <si>
    <t>47210</t>
  </si>
  <si>
    <t>Maloobchod s papírnickým zbožím</t>
  </si>
  <si>
    <t>47622</t>
  </si>
  <si>
    <t>Maloobchod s pekařskými a cukrářskými výrobky a cukrovinkami</t>
  </si>
  <si>
    <t>47240</t>
  </si>
  <si>
    <t>Maloobchod s počítačovým a komunikačním zařízením</t>
  </si>
  <si>
    <t>47400</t>
  </si>
  <si>
    <t>Maloobchod s pohonnými hmotami</t>
  </si>
  <si>
    <t>47300</t>
  </si>
  <si>
    <t>Maloobchod s použitými knihami a starožitnostmi</t>
  </si>
  <si>
    <t>47791</t>
  </si>
  <si>
    <t>47230</t>
  </si>
  <si>
    <t>47260</t>
  </si>
  <si>
    <t>47510</t>
  </si>
  <si>
    <t>Maloobchod s výrobky pro kulturní rozhled a rekreaci j. n.</t>
  </si>
  <si>
    <t>47690</t>
  </si>
  <si>
    <t>Maloobchod s železářským zbožím, stavebními materiály, barvami a sklem</t>
  </si>
  <si>
    <t>47520</t>
  </si>
  <si>
    <t>47630</t>
  </si>
  <si>
    <t>47740</t>
  </si>
  <si>
    <t>52240</t>
  </si>
  <si>
    <t>01300</t>
  </si>
  <si>
    <t>03210</t>
  </si>
  <si>
    <t>03110</t>
  </si>
  <si>
    <t>68110</t>
  </si>
  <si>
    <t>50200</t>
  </si>
  <si>
    <t>50100</t>
  </si>
  <si>
    <t>Navrhování interiérů</t>
  </si>
  <si>
    <t>74130</t>
  </si>
  <si>
    <t>Nepravidelná silniční osobní doprava</t>
  </si>
  <si>
    <t>49320</t>
  </si>
  <si>
    <t>Nespecializovaný maloobchod s převahou potravin, nápojů a tabákových výrobků</t>
  </si>
  <si>
    <t>47110</t>
  </si>
  <si>
    <t>46900</t>
  </si>
  <si>
    <t>Nespecializovaný velkoobchod s potravinami, nápoji a tabákovými výrobky</t>
  </si>
  <si>
    <t>46390</t>
  </si>
  <si>
    <t>35150</t>
  </si>
  <si>
    <t>35230</t>
  </si>
  <si>
    <t>66120</t>
  </si>
  <si>
    <t>64991</t>
  </si>
  <si>
    <t>43330</t>
  </si>
  <si>
    <t>Obrábění kovů</t>
  </si>
  <si>
    <t>25530</t>
  </si>
  <si>
    <t>Odlévání legovaných ocelí</t>
  </si>
  <si>
    <t>24522</t>
  </si>
  <si>
    <t>Odlévání lehkých kovů</t>
  </si>
  <si>
    <t>24530</t>
  </si>
  <si>
    <t>Odlévání litiny s kuličkovým grafitem</t>
  </si>
  <si>
    <t>24512</t>
  </si>
  <si>
    <t>Odlévání litiny s lupínkovým grafitem</t>
  </si>
  <si>
    <t>24511</t>
  </si>
  <si>
    <t>Odlévání ostatní litiny</t>
  </si>
  <si>
    <t>24519</t>
  </si>
  <si>
    <t>Odlévání ostatních neželezných kovů</t>
  </si>
  <si>
    <t>24540</t>
  </si>
  <si>
    <t>Odlévání uhlíkatých ocelí</t>
  </si>
  <si>
    <t>24521</t>
  </si>
  <si>
    <t>43310</t>
  </si>
  <si>
    <t>Opravy a údržba civilních letadel a kosmických lodí</t>
  </si>
  <si>
    <t>33160</t>
  </si>
  <si>
    <t>Opravy a údržba civilních lodí a člunů</t>
  </si>
  <si>
    <t>33150</t>
  </si>
  <si>
    <t>Opravy a údržba elektrických zařízení</t>
  </si>
  <si>
    <t>33140</t>
  </si>
  <si>
    <t>Opravy a údržba elektronických a optických přístrojů a zařízení</t>
  </si>
  <si>
    <t>33130</t>
  </si>
  <si>
    <t>Opravy a údržba hodin, hodinek a klenotů</t>
  </si>
  <si>
    <t>95250</t>
  </si>
  <si>
    <t>33171</t>
  </si>
  <si>
    <t>Opravy a údržba kovových výrobků</t>
  </si>
  <si>
    <t>33110</t>
  </si>
  <si>
    <t>Opravy a údržba motocyklů</t>
  </si>
  <si>
    <t>95320</t>
  </si>
  <si>
    <t>Opravy a údržba motorových vozidel</t>
  </si>
  <si>
    <t>95310</t>
  </si>
  <si>
    <t>Opravy a údržba nábytku a bytového zařízení</t>
  </si>
  <si>
    <t>95240</t>
  </si>
  <si>
    <t>Opravy a údržba obuvi a kožených výrobků</t>
  </si>
  <si>
    <t>95230</t>
  </si>
  <si>
    <t>Opravy a údržba ostatních civilních dopravních prostředků a zařízení j. n.</t>
  </si>
  <si>
    <t>33179</t>
  </si>
  <si>
    <t>Opravy a údržba ostatních zařízení</t>
  </si>
  <si>
    <t>33190</t>
  </si>
  <si>
    <t>Opravy a údržba počítačů a komunikačních zařízení</t>
  </si>
  <si>
    <t>95100</t>
  </si>
  <si>
    <t>Opravy a údržba přístrojů a zařízení převážně pro domácnost, dům a zahradu</t>
  </si>
  <si>
    <t>95220</t>
  </si>
  <si>
    <t>Opravy a údržba spotřební elektroniky</t>
  </si>
  <si>
    <t>95210</t>
  </si>
  <si>
    <t>Opravy a údržba strojů</t>
  </si>
  <si>
    <t>33120</t>
  </si>
  <si>
    <t>Opravy a údržba vojenských bojových vozidel</t>
  </si>
  <si>
    <t>33181</t>
  </si>
  <si>
    <t>Opravy a údržba vojenských letadel a kosmických lodí</t>
  </si>
  <si>
    <t>33183</t>
  </si>
  <si>
    <t>Opravy a údržba vojenských lodí a člunů</t>
  </si>
  <si>
    <t>33182</t>
  </si>
  <si>
    <t>Opravy a údržba výrobků pro osobní potřebu a převážně pro domácnost j. n.</t>
  </si>
  <si>
    <t>95290</t>
  </si>
  <si>
    <t>Osobní doprava visutými lanovkami a lyžařskými vleky</t>
  </si>
  <si>
    <t>49340</t>
  </si>
  <si>
    <t>Osobní doprava vozidlem s řidičem na vyžádání</t>
  </si>
  <si>
    <t>49330</t>
  </si>
  <si>
    <t>88990</t>
  </si>
  <si>
    <t>Ostatní činnosti související s distribucí obsahu</t>
  </si>
  <si>
    <t>60390</t>
  </si>
  <si>
    <t>86990</t>
  </si>
  <si>
    <t>Ostatní činnosti v oblasti informačních technologií a počítačů</t>
  </si>
  <si>
    <t>62900</t>
  </si>
  <si>
    <t>Ostatní činnosti v oblasti nemovitostí na základě smlouvy nebo dohody</t>
  </si>
  <si>
    <t>68320</t>
  </si>
  <si>
    <t>63920</t>
  </si>
  <si>
    <t>Ostatní kolejová osobní doprava</t>
  </si>
  <si>
    <t>49120</t>
  </si>
  <si>
    <t>Ostatní kompletační a dokončovací stavební práce</t>
  </si>
  <si>
    <t>43350</t>
  </si>
  <si>
    <t>Ostatní nespecializovaný maloobchod</t>
  </si>
  <si>
    <t>47120</t>
  </si>
  <si>
    <t>Ostatní odstraňování odpadů</t>
  </si>
  <si>
    <t>38330</t>
  </si>
  <si>
    <t>64190</t>
  </si>
  <si>
    <t>Ostatní pobytové služby sociální péče j. n.</t>
  </si>
  <si>
    <t>87990</t>
  </si>
  <si>
    <t>Ostatní počítačové programování</t>
  </si>
  <si>
    <t>62109</t>
  </si>
  <si>
    <t>Ostatní podpůrné činnosti pro dopravu</t>
  </si>
  <si>
    <t>52260</t>
  </si>
  <si>
    <t>82990</t>
  </si>
  <si>
    <t>Ostatní podpůrné činnosti pro uměleckou tvorbu a scénická umění</t>
  </si>
  <si>
    <t>90390</t>
  </si>
  <si>
    <t>Ostatní pomocné činnosti k finančním činnostem, kromě pojišťování a penzijního financování</t>
  </si>
  <si>
    <t>66190</t>
  </si>
  <si>
    <t>64929</t>
  </si>
  <si>
    <t>53200</t>
  </si>
  <si>
    <t>49390</t>
  </si>
  <si>
    <t>79900</t>
  </si>
  <si>
    <t>Ostatní specializované návrhářské činnosti</t>
  </si>
  <si>
    <t>74140</t>
  </si>
  <si>
    <t>43990</t>
  </si>
  <si>
    <t>Ostatní specializované stavební činnosti při výstavbě budov</t>
  </si>
  <si>
    <t>43420</t>
  </si>
  <si>
    <t>Ostatní specializovaný velkoobchod j. n.</t>
  </si>
  <si>
    <t>46890</t>
  </si>
  <si>
    <t>43240</t>
  </si>
  <si>
    <t>61900</t>
  </si>
  <si>
    <t>Ostatní tisk</t>
  </si>
  <si>
    <t>18120</t>
  </si>
  <si>
    <t>55900</t>
  </si>
  <si>
    <t>81230</t>
  </si>
  <si>
    <t>Ostatní umělecká tvorba</t>
  </si>
  <si>
    <t>90130</t>
  </si>
  <si>
    <t>58290</t>
  </si>
  <si>
    <t>Ostatní vydavatelské činnosti, kromě vydávání softwaru</t>
  </si>
  <si>
    <t>58190</t>
  </si>
  <si>
    <t>10390</t>
  </si>
  <si>
    <t>32990</t>
  </si>
  <si>
    <t>Ošetřovatelské činnosti a činnosti porodních asistentek</t>
  </si>
  <si>
    <t>86940</t>
  </si>
  <si>
    <t>Pátrací činnosti a činnosti soukromých bezpečnostních agentur</t>
  </si>
  <si>
    <t>80010</t>
  </si>
  <si>
    <t>65300</t>
  </si>
  <si>
    <t>01230</t>
  </si>
  <si>
    <t>01140</t>
  </si>
  <si>
    <t>01240</t>
  </si>
  <si>
    <t>Pěstování koření a aromatických, léčivých a farmaceutických rostlin</t>
  </si>
  <si>
    <t>01280</t>
  </si>
  <si>
    <t>Pěstování lesa a jiné činnosti v oblasti lesnictví</t>
  </si>
  <si>
    <t>02100</t>
  </si>
  <si>
    <t>Pěstování obilovin jiných než rýže, luštěnin a olejnatých semen</t>
  </si>
  <si>
    <t>01110</t>
  </si>
  <si>
    <t>01260</t>
  </si>
  <si>
    <t>01250</t>
  </si>
  <si>
    <t>01190</t>
  </si>
  <si>
    <t>01290</t>
  </si>
  <si>
    <t>01160</t>
  </si>
  <si>
    <t>01270</t>
  </si>
  <si>
    <t>01120</t>
  </si>
  <si>
    <t>01150</t>
  </si>
  <si>
    <t>01220</t>
  </si>
  <si>
    <t>01210</t>
  </si>
  <si>
    <t>01130</t>
  </si>
  <si>
    <t>Pilařská výroba</t>
  </si>
  <si>
    <t>16110</t>
  </si>
  <si>
    <t>Pobytové služby sociální péče pro osoby s duševním onemocněním, mentálním postižením nebo osoby závislé na návykových látkách</t>
  </si>
  <si>
    <t>87200</t>
  </si>
  <si>
    <t>Pobytové služby sociální péče pro seniory nebo osoby s fyzickým nebo smyslovým postižením</t>
  </si>
  <si>
    <t>87300</t>
  </si>
  <si>
    <t>Pobytové služby sociální péče ve zdravotnických zařízeních lůžkové péče</t>
  </si>
  <si>
    <t>87100</t>
  </si>
  <si>
    <t>Podávání nápojů</t>
  </si>
  <si>
    <t>56300</t>
  </si>
  <si>
    <t>02400</t>
  </si>
  <si>
    <t>01610</t>
  </si>
  <si>
    <t>Podpůrné činnosti pro rybolov a akvakulturu</t>
  </si>
  <si>
    <t>03300</t>
  </si>
  <si>
    <t>Podpůrné činnosti pro těžbu a dobývání ostatních nerostných surovin j. n.</t>
  </si>
  <si>
    <t>09909</t>
  </si>
  <si>
    <t>Podpůrné činnosti pro těžbu černého uhlí</t>
  </si>
  <si>
    <t>09901</t>
  </si>
  <si>
    <t>Podpůrné činnosti pro těžbu hnědého uhlí, kromě lignitu</t>
  </si>
  <si>
    <t>09902</t>
  </si>
  <si>
    <t>Podpůrné činnosti pro těžbu lignitu</t>
  </si>
  <si>
    <t>09903</t>
  </si>
  <si>
    <t>Podpůrné činnosti pro těžbu ostatních neželezných rud</t>
  </si>
  <si>
    <t>09906</t>
  </si>
  <si>
    <t>Podpůrné činnosti pro těžbu ropy a zemního plynu</t>
  </si>
  <si>
    <t>09100</t>
  </si>
  <si>
    <t>Podpůrné činnosti pro těžbu uranových a thoriových rud</t>
  </si>
  <si>
    <t>09905</t>
  </si>
  <si>
    <t>Podpůrné činnosti pro těžbu železných rud</t>
  </si>
  <si>
    <t>09904</t>
  </si>
  <si>
    <t>01620</t>
  </si>
  <si>
    <t>Podpůrné činnosti v oblasti vzdělávání j. n.</t>
  </si>
  <si>
    <t>85690</t>
  </si>
  <si>
    <t>96300</t>
  </si>
  <si>
    <t>43410</t>
  </si>
  <si>
    <t>Pomocné činnosti k pojišťování a penzijnímu financování j. n.</t>
  </si>
  <si>
    <t>66290</t>
  </si>
  <si>
    <t>Poradenství v oblasti počítačů a správa počítačových systémů</t>
  </si>
  <si>
    <t>62200</t>
  </si>
  <si>
    <t>Poradenství v oblasti podnikání a řízení podniků</t>
  </si>
  <si>
    <t>70200</t>
  </si>
  <si>
    <t>Pořádání kongresů a veletrhů</t>
  </si>
  <si>
    <t>82300</t>
  </si>
  <si>
    <t>59200</t>
  </si>
  <si>
    <t>Posklizňové činnosti a zpracování osiva pro účely množení</t>
  </si>
  <si>
    <t>01630</t>
  </si>
  <si>
    <t>Poskytování jiných úvěrů společnostmi, které nepřijímají vklady</t>
  </si>
  <si>
    <t>64922</t>
  </si>
  <si>
    <t>Poskytování osobních služeb v domácnostech</t>
  </si>
  <si>
    <t>96910</t>
  </si>
  <si>
    <t>96990</t>
  </si>
  <si>
    <t>Poskytování počítačové infrastruktury, zpracování dat, hosting a související činnosti</t>
  </si>
  <si>
    <t>63100</t>
  </si>
  <si>
    <t>Poskytování smluvních a ostatních stravovacích služeb</t>
  </si>
  <si>
    <t>56220</t>
  </si>
  <si>
    <t>Poskytování spotřebitelských úvěrů společnostmi, které nepřijímají vklady</t>
  </si>
  <si>
    <t>64921</t>
  </si>
  <si>
    <t>Poskytování stravování u stánků a mobilních zařízení</t>
  </si>
  <si>
    <t>56120</t>
  </si>
  <si>
    <t>Poskytování stravování v restauracích</t>
  </si>
  <si>
    <t>56110</t>
  </si>
  <si>
    <t>Postprodukce filmů, videozáznamů a televizních pořadů</t>
  </si>
  <si>
    <t>59120</t>
  </si>
  <si>
    <t>Postsekundární neterciární vzdělávání</t>
  </si>
  <si>
    <t>85330</t>
  </si>
  <si>
    <t>49500</t>
  </si>
  <si>
    <t>Povlakování kovů</t>
  </si>
  <si>
    <t>25510</t>
  </si>
  <si>
    <t>Praní a čištění textilních a kožešinových výrobků pro jiné oblasti podnikání</t>
  </si>
  <si>
    <t>96103</t>
  </si>
  <si>
    <t>Praní a čištění textilních a kožešinových výrobků pro oblast ubytování a stravování</t>
  </si>
  <si>
    <t>96102</t>
  </si>
  <si>
    <t>Praní a čištění textilních a kožešinových výrobků pro oblast zdravotnictví</t>
  </si>
  <si>
    <t>96101</t>
  </si>
  <si>
    <t>Praní a čištění textilních a kožešinových výrobků pro veřejnost</t>
  </si>
  <si>
    <t>96104</t>
  </si>
  <si>
    <t>Pravidelná silniční osobní doprava</t>
  </si>
  <si>
    <t>49310</t>
  </si>
  <si>
    <t>69100</t>
  </si>
  <si>
    <t>Preprimární vzdělávání</t>
  </si>
  <si>
    <t>85100</t>
  </si>
  <si>
    <t>85200</t>
  </si>
  <si>
    <t>Produkce filmů, videozáznamů a televizních pořadů</t>
  </si>
  <si>
    <t>59110</t>
  </si>
  <si>
    <t>Programování a vývoj počítačových her, herního softwaru a herních nástrojů</t>
  </si>
  <si>
    <t>62101</t>
  </si>
  <si>
    <t>59140</t>
  </si>
  <si>
    <t>77330</t>
  </si>
  <si>
    <t>77350</t>
  </si>
  <si>
    <t>77120</t>
  </si>
  <si>
    <t>Pronájem a leasing osobních automobilů a lehkých motorových vozidel</t>
  </si>
  <si>
    <t>77110</t>
  </si>
  <si>
    <t>Pronájem a leasing ostatních strojů, zařízení a hmotných statků j. n.</t>
  </si>
  <si>
    <t>77390</t>
  </si>
  <si>
    <t>Pronájem a leasing ostatních výrobků pro osobní potřebu a převážně pro domácnost</t>
  </si>
  <si>
    <t>77220</t>
  </si>
  <si>
    <t>77210</t>
  </si>
  <si>
    <t>77320</t>
  </si>
  <si>
    <t>77340</t>
  </si>
  <si>
    <t>77310</t>
  </si>
  <si>
    <t>68200</t>
  </si>
  <si>
    <t>Provoz pískoven a štěrkopískoven a těžba jílů a kaolinu</t>
  </si>
  <si>
    <t>08120</t>
  </si>
  <si>
    <t>Provozování historických a kulturních památek</t>
  </si>
  <si>
    <t>91220</t>
  </si>
  <si>
    <t>Provozování kulturních zařízení a areálů</t>
  </si>
  <si>
    <t>90310</t>
  </si>
  <si>
    <t>93110</t>
  </si>
  <si>
    <t>73200</t>
  </si>
  <si>
    <t>43130</t>
  </si>
  <si>
    <t>74300</t>
  </si>
  <si>
    <t>35130</t>
  </si>
  <si>
    <t>Přeprava pacientů vozidly zdravotnické dopravní služby</t>
  </si>
  <si>
    <t>86920</t>
  </si>
  <si>
    <t>43120</t>
  </si>
  <si>
    <t>18130</t>
  </si>
  <si>
    <t>32110</t>
  </si>
  <si>
    <t>84130</t>
  </si>
  <si>
    <t>Regulace činností souvisejících s kulturou</t>
  </si>
  <si>
    <t>84123</t>
  </si>
  <si>
    <t>Regulace činností souvisejících s poskytováním ostatních služeb pro společnost j. n.</t>
  </si>
  <si>
    <t>84129</t>
  </si>
  <si>
    <t>Regulace činností souvisejících s poskytováním sociální péče, kromě povinného sociálního zabezpečení</t>
  </si>
  <si>
    <t>84125</t>
  </si>
  <si>
    <t>Regulace činností souvisejících s poskytováním zdravotní péče</t>
  </si>
  <si>
    <t>84121</t>
  </si>
  <si>
    <t>Regulace činností souvisejících se sportem</t>
  </si>
  <si>
    <t>84124</t>
  </si>
  <si>
    <t>Regulace činností souvisejících se vzděláváním</t>
  </si>
  <si>
    <t>84122</t>
  </si>
  <si>
    <t>55200</t>
  </si>
  <si>
    <t>60101</t>
  </si>
  <si>
    <t>18200</t>
  </si>
  <si>
    <t>23700</t>
  </si>
  <si>
    <t>66110</t>
  </si>
  <si>
    <t>39000</t>
  </si>
  <si>
    <t>02300</t>
  </si>
  <si>
    <t>Sběr nebezpečných odpadů</t>
  </si>
  <si>
    <t>38120</t>
  </si>
  <si>
    <t>Sběr odpadů, kromě nebezpečných</t>
  </si>
  <si>
    <t>38110</t>
  </si>
  <si>
    <t>Sekundární odborné vzdělávání bez maturitní zkoušky v jiných než uměleckých oborech</t>
  </si>
  <si>
    <t>85322</t>
  </si>
  <si>
    <t>Sekundární odborné vzdělávání s maturitní zkouškou v jiných než uměleckých oborech</t>
  </si>
  <si>
    <t>85323</t>
  </si>
  <si>
    <t>Sekundární odborné vzdělávání v uměleckých oborech</t>
  </si>
  <si>
    <t>85321</t>
  </si>
  <si>
    <t>Sekundární všeobecné vzdělávání na druhém stupni základních škol</t>
  </si>
  <si>
    <t>85311</t>
  </si>
  <si>
    <t>Sekundární všeobecné vzdělávání na středních školách</t>
  </si>
  <si>
    <t>85312</t>
  </si>
  <si>
    <t>Shromažďování, úprava a distribuce vody</t>
  </si>
  <si>
    <t>36000</t>
  </si>
  <si>
    <t>49410</t>
  </si>
  <si>
    <t>Skládkování nebo trvalé uložení odpadů</t>
  </si>
  <si>
    <t>38320</t>
  </si>
  <si>
    <t>52100</t>
  </si>
  <si>
    <t>Skladování elektřiny</t>
  </si>
  <si>
    <t>35160</t>
  </si>
  <si>
    <t>Skladování plynu jako součást služeb síťových dodávek</t>
  </si>
  <si>
    <t>35240</t>
  </si>
  <si>
    <t>43340</t>
  </si>
  <si>
    <t>03220</t>
  </si>
  <si>
    <t>03120</t>
  </si>
  <si>
    <t>Služby pro děti</t>
  </si>
  <si>
    <t>88910</t>
  </si>
  <si>
    <t>Smíšené hospodaření</t>
  </si>
  <si>
    <t>01500</t>
  </si>
  <si>
    <t>Spalování odpadů bez energetického využití</t>
  </si>
  <si>
    <t>38310</t>
  </si>
  <si>
    <t>86220</t>
  </si>
  <si>
    <t>81220</t>
  </si>
  <si>
    <t>Specializované stavební činnosti při výstavbě inženýrských děl</t>
  </si>
  <si>
    <t>43500</t>
  </si>
  <si>
    <t>Specializovaný maloobchod s ostatními potravinami</t>
  </si>
  <si>
    <t>47270</t>
  </si>
  <si>
    <t>Specializovaný velkoobchod s ostatními potravinami</t>
  </si>
  <si>
    <t>46380</t>
  </si>
  <si>
    <t>85510</t>
  </si>
  <si>
    <t>66300</t>
  </si>
  <si>
    <t>Stavba civilních lodí a plavidel</t>
  </si>
  <si>
    <t>30110</t>
  </si>
  <si>
    <t>30120</t>
  </si>
  <si>
    <t>Stavba vojenských lodí a plavidel</t>
  </si>
  <si>
    <t>30130</t>
  </si>
  <si>
    <t>49420</t>
  </si>
  <si>
    <t>24340</t>
  </si>
  <si>
    <t>Tažení ocelových tyčí za studena</t>
  </si>
  <si>
    <t>24310</t>
  </si>
  <si>
    <t>71200</t>
  </si>
  <si>
    <t>Tepelné zpracování kovů</t>
  </si>
  <si>
    <t>25520</t>
  </si>
  <si>
    <t>Terciární vzdělávání v jiných než uměleckých oborech</t>
  </si>
  <si>
    <t>85402</t>
  </si>
  <si>
    <t>Terciární vzdělávání v uměleckých oborech</t>
  </si>
  <si>
    <t>85401</t>
  </si>
  <si>
    <t>Těžba a dobývání ostatních nerostných surovin j. n.</t>
  </si>
  <si>
    <t>08990</t>
  </si>
  <si>
    <t>Těžba černého uhlí, kromě úpravy</t>
  </si>
  <si>
    <t>05101</t>
  </si>
  <si>
    <t>02200</t>
  </si>
  <si>
    <t>Těžba hnědého uhlí jiného než lignitu, kromě úpravy</t>
  </si>
  <si>
    <t>05201</t>
  </si>
  <si>
    <t>08910</t>
  </si>
  <si>
    <t>Těžba lignitu, kromě úpravy</t>
  </si>
  <si>
    <t>05203</t>
  </si>
  <si>
    <t>Těžba ostatních neželezných rud, kromě úpravy</t>
  </si>
  <si>
    <t>07291</t>
  </si>
  <si>
    <t>08920</t>
  </si>
  <si>
    <t>06100</t>
  </si>
  <si>
    <t>08930</t>
  </si>
  <si>
    <t>Těžba uranových a thoriových rud, kromě úpravy</t>
  </si>
  <si>
    <t>07211</t>
  </si>
  <si>
    <t>06200</t>
  </si>
  <si>
    <t>Těžba železných rud, kromě úpravy</t>
  </si>
  <si>
    <t>07101</t>
  </si>
  <si>
    <t>18110</t>
  </si>
  <si>
    <t>13200</t>
  </si>
  <si>
    <t>43320</t>
  </si>
  <si>
    <t>23120</t>
  </si>
  <si>
    <t>24330</t>
  </si>
  <si>
    <t>Tvorba televizních programů, televizní vysílání a distribuce videozáznamů</t>
  </si>
  <si>
    <t>60200</t>
  </si>
  <si>
    <t>55100</t>
  </si>
  <si>
    <t>69200</t>
  </si>
  <si>
    <t>85520</t>
  </si>
  <si>
    <t>13100</t>
  </si>
  <si>
    <t>05102</t>
  </si>
  <si>
    <t>Úprava hnědého uhlí jiného než lignitu</t>
  </si>
  <si>
    <t>05202</t>
  </si>
  <si>
    <t>05204</t>
  </si>
  <si>
    <t>07292</t>
  </si>
  <si>
    <t>07212</t>
  </si>
  <si>
    <t>07102</t>
  </si>
  <si>
    <t>24320</t>
  </si>
  <si>
    <t>18140</t>
  </si>
  <si>
    <t>46360</t>
  </si>
  <si>
    <t>Velkoobchod s díly a příslušenstvím pro motorová vozidla</t>
  </si>
  <si>
    <t>46720</t>
  </si>
  <si>
    <t>Velkoobchod s elektrospotřebiči a elektronikou převážně pro domácnost</t>
  </si>
  <si>
    <t>46430</t>
  </si>
  <si>
    <t>Velkoobchod s farmaceutickými a zdravotnickými výrobky</t>
  </si>
  <si>
    <t>46460</t>
  </si>
  <si>
    <t>46480</t>
  </si>
  <si>
    <t>46850</t>
  </si>
  <si>
    <t>46370</t>
  </si>
  <si>
    <t>46220</t>
  </si>
  <si>
    <t>Velkoobchod s masem, masnými výrobky, rybami a rybími výrobky</t>
  </si>
  <si>
    <t>46320</t>
  </si>
  <si>
    <t>46330</t>
  </si>
  <si>
    <t>Velkoobchod s motocykly a jejich díly a příslušenstvím</t>
  </si>
  <si>
    <t>46730</t>
  </si>
  <si>
    <t>Velkoobchod s motorovými vozidly</t>
  </si>
  <si>
    <t>46710</t>
  </si>
  <si>
    <t>Velkoobchod s nábytkem, koberci a osvětlovacími zařízeními pro domácnosti, kanceláře a obchody</t>
  </si>
  <si>
    <t>46470</t>
  </si>
  <si>
    <t>46340</t>
  </si>
  <si>
    <t>46210</t>
  </si>
  <si>
    <t>46620</t>
  </si>
  <si>
    <t>46420</t>
  </si>
  <si>
    <t>46870</t>
  </si>
  <si>
    <t>46860</t>
  </si>
  <si>
    <t>46640</t>
  </si>
  <si>
    <t>46490</t>
  </si>
  <si>
    <t>46310</t>
  </si>
  <si>
    <t>Velkoobchod s parfémy a kosmetickými přípravky</t>
  </si>
  <si>
    <t>46450</t>
  </si>
  <si>
    <t>46810</t>
  </si>
  <si>
    <t>Velkoobchod s počítačovými a komunikačními zařízeními</t>
  </si>
  <si>
    <t>46500</t>
  </si>
  <si>
    <t>Velkoobchod s porcelánovými, keramickými a skleněnými výrobky a čisticími prostředky</t>
  </si>
  <si>
    <t>46440</t>
  </si>
  <si>
    <t>46820</t>
  </si>
  <si>
    <t>46350</t>
  </si>
  <si>
    <t>46410</t>
  </si>
  <si>
    <t>46630</t>
  </si>
  <si>
    <t>Velkoobchod s železářským zbožím a instalatérskými a topenářskými potřebami</t>
  </si>
  <si>
    <t>46840</t>
  </si>
  <si>
    <t>46230</t>
  </si>
  <si>
    <t>46830</t>
  </si>
  <si>
    <t>46240</t>
  </si>
  <si>
    <t>46610</t>
  </si>
  <si>
    <t>75000</t>
  </si>
  <si>
    <t>50400</t>
  </si>
  <si>
    <t>50300</t>
  </si>
  <si>
    <t>Všechny ostatní odborné, vědecké a technické činnosti j. n.</t>
  </si>
  <si>
    <t>74990</t>
  </si>
  <si>
    <t>86210</t>
  </si>
  <si>
    <t>84110</t>
  </si>
  <si>
    <t>81210</t>
  </si>
  <si>
    <t>Vydávání časopisů v jiných formách než tištěných</t>
  </si>
  <si>
    <t>58132</t>
  </si>
  <si>
    <t>58110</t>
  </si>
  <si>
    <t>Vydávání novin v jiných formách než tištěných</t>
  </si>
  <si>
    <t>58122</t>
  </si>
  <si>
    <t>Vydávání ostatních periodik</t>
  </si>
  <si>
    <t>58139</t>
  </si>
  <si>
    <t>Vydávání tištěných časopisů</t>
  </si>
  <si>
    <t>58131</t>
  </si>
  <si>
    <t>Vydávání tištěných novin</t>
  </si>
  <si>
    <t>58121</t>
  </si>
  <si>
    <t>Vydávání videoher</t>
  </si>
  <si>
    <t>58210</t>
  </si>
  <si>
    <t>66210</t>
  </si>
  <si>
    <t>Výroba a distribuce chladicí vody</t>
  </si>
  <si>
    <t>35303</t>
  </si>
  <si>
    <t>Výroba a distribuce klimatizovaného vzduchu</t>
  </si>
  <si>
    <t>35302</t>
  </si>
  <si>
    <t>Výroba a distribuce páry</t>
  </si>
  <si>
    <t>35301</t>
  </si>
  <si>
    <t>24410</t>
  </si>
  <si>
    <t>24420</t>
  </si>
  <si>
    <t>24440</t>
  </si>
  <si>
    <t>24430</t>
  </si>
  <si>
    <t>24450</t>
  </si>
  <si>
    <t>Výroba a zpracování ostatního skla, včetně technického skla</t>
  </si>
  <si>
    <t>23150</t>
  </si>
  <si>
    <t>Výroba aditiv do pohonných hmot na bázi ethyltercbutyléteru (ETBE) a methyltercbutyléteru (MTBE)</t>
  </si>
  <si>
    <t>20591</t>
  </si>
  <si>
    <t>Výroba barev, laků a jiných nátěrových hmot, tiskařských barev a tmelů</t>
  </si>
  <si>
    <t>20300</t>
  </si>
  <si>
    <t>20120</t>
  </si>
  <si>
    <t>27200</t>
  </si>
  <si>
    <t>23610</t>
  </si>
  <si>
    <t>23630</t>
  </si>
  <si>
    <t>32130</t>
  </si>
  <si>
    <t>23910</t>
  </si>
  <si>
    <t>Výroba bytového textilu a konfekčních bytových textilií</t>
  </si>
  <si>
    <t>13920</t>
  </si>
  <si>
    <t>23510</t>
  </si>
  <si>
    <t>Výroba ciderů a jiných kvašených ovocných nápojů</t>
  </si>
  <si>
    <t>11030</t>
  </si>
  <si>
    <t>Výroba civilních letadel, kosmických lodí a souvisejících zařízení</t>
  </si>
  <si>
    <t>30310</t>
  </si>
  <si>
    <t>10810</t>
  </si>
  <si>
    <t>26520</t>
  </si>
  <si>
    <t>17220</t>
  </si>
  <si>
    <t>25930</t>
  </si>
  <si>
    <t>Výroba dřevěných dveří a oken</t>
  </si>
  <si>
    <t>16250</t>
  </si>
  <si>
    <t>16240</t>
  </si>
  <si>
    <t>23130</t>
  </si>
  <si>
    <t>16210</t>
  </si>
  <si>
    <t>29310</t>
  </si>
  <si>
    <t>27110</t>
  </si>
  <si>
    <t>27120</t>
  </si>
  <si>
    <t>27510</t>
  </si>
  <si>
    <t>27330</t>
  </si>
  <si>
    <t>26110</t>
  </si>
  <si>
    <t>Výroba elektřiny z neobnovitelných zdrojů</t>
  </si>
  <si>
    <t>35110</t>
  </si>
  <si>
    <t>Výroba elektřiny z obnovitelných zdrojů</t>
  </si>
  <si>
    <t>35120</t>
  </si>
  <si>
    <t>21200</t>
  </si>
  <si>
    <t>32400</t>
  </si>
  <si>
    <t>20150</t>
  </si>
  <si>
    <t>Výroba homogenizovaných potravinářských přípravků a dietetických potravin</t>
  </si>
  <si>
    <t>10860</t>
  </si>
  <si>
    <t>10850</t>
  </si>
  <si>
    <t>32200</t>
  </si>
  <si>
    <t>Výroba hydraulických zařízení</t>
  </si>
  <si>
    <t>28120</t>
  </si>
  <si>
    <t>17111</t>
  </si>
  <si>
    <t>20600</t>
  </si>
  <si>
    <t>20599</t>
  </si>
  <si>
    <t>20130</t>
  </si>
  <si>
    <t>20140</t>
  </si>
  <si>
    <t>30920</t>
  </si>
  <si>
    <t>10820</t>
  </si>
  <si>
    <t>17230</t>
  </si>
  <si>
    <t>Výroba kancelářských strojů a zařízení, kromě počítačů a periferních zařízení</t>
  </si>
  <si>
    <t>28230</t>
  </si>
  <si>
    <t>Výroba kapalných biopaliv</t>
  </si>
  <si>
    <t>20510</t>
  </si>
  <si>
    <t>29200</t>
  </si>
  <si>
    <t>23430</t>
  </si>
  <si>
    <t>Výroba keramických obkladaček a dlaždic</t>
  </si>
  <si>
    <t>23310</t>
  </si>
  <si>
    <t>23420</t>
  </si>
  <si>
    <t>32120</t>
  </si>
  <si>
    <t>Výroba klimatizačních zařízení jiných než pro domácnost</t>
  </si>
  <si>
    <t>28250</t>
  </si>
  <si>
    <t>13930</t>
  </si>
  <si>
    <t>19100</t>
  </si>
  <si>
    <t>26300</t>
  </si>
  <si>
    <t>Výroba koření a přísad pro ochucení</t>
  </si>
  <si>
    <t>10840</t>
  </si>
  <si>
    <t>32910</t>
  </si>
  <si>
    <t>25120</t>
  </si>
  <si>
    <t>25110</t>
  </si>
  <si>
    <t>Výroba kožených oděvů a kožešinových výrobků</t>
  </si>
  <si>
    <t>14240</t>
  </si>
  <si>
    <t>Výroba krmiv pro hospodářská zvířata</t>
  </si>
  <si>
    <t>10910</t>
  </si>
  <si>
    <t>Výroba krmiv pro zvířata v zájmovém chovu</t>
  </si>
  <si>
    <t>10920</t>
  </si>
  <si>
    <t>13940</t>
  </si>
  <si>
    <t>32500</t>
  </si>
  <si>
    <t>28150</t>
  </si>
  <si>
    <t>23640</t>
  </si>
  <si>
    <t>10420</t>
  </si>
  <si>
    <t>10130</t>
  </si>
  <si>
    <t>17112</t>
  </si>
  <si>
    <t>26510</t>
  </si>
  <si>
    <t>10510</t>
  </si>
  <si>
    <t>10610</t>
  </si>
  <si>
    <t>30910</t>
  </si>
  <si>
    <t>Výroba motorových vozidel</t>
  </si>
  <si>
    <t>29100</t>
  </si>
  <si>
    <t>28110</t>
  </si>
  <si>
    <t>Výroba moučných výrobků</t>
  </si>
  <si>
    <t>10730</t>
  </si>
  <si>
    <t>Výroba mýdel, detergentů a čisticích a lešticích prostředků</t>
  </si>
  <si>
    <t>20410</t>
  </si>
  <si>
    <t>31000</t>
  </si>
  <si>
    <t>25630</t>
  </si>
  <si>
    <t>Výroba nealkoholických nápojů a balených vod</t>
  </si>
  <si>
    <t>11070</t>
  </si>
  <si>
    <t>27520</t>
  </si>
  <si>
    <t>Výroba netkaných textilií a výrobků z nich</t>
  </si>
  <si>
    <t>13950</t>
  </si>
  <si>
    <t>25610</t>
  </si>
  <si>
    <t>Výroba obalů z lehkých kovů</t>
  </si>
  <si>
    <t>25920</t>
  </si>
  <si>
    <t>15201</t>
  </si>
  <si>
    <t>25910</t>
  </si>
  <si>
    <t>Výroba ocelových trub, trubek, dutých profilů a souvisejících potrubních tvarovek</t>
  </si>
  <si>
    <t>24200</t>
  </si>
  <si>
    <t>10410</t>
  </si>
  <si>
    <t>27310</t>
  </si>
  <si>
    <t>Výroba optických přístrojů a zařízení, magnetických a optických médií a fotografických přístrojů a zařízení</t>
  </si>
  <si>
    <t>26700</t>
  </si>
  <si>
    <t>26120</t>
  </si>
  <si>
    <t>14220</t>
  </si>
  <si>
    <t>Výroba ostatní obuvi</t>
  </si>
  <si>
    <t>15209</t>
  </si>
  <si>
    <t>23660</t>
  </si>
  <si>
    <t>28130</t>
  </si>
  <si>
    <t>29320</t>
  </si>
  <si>
    <t>30990</t>
  </si>
  <si>
    <t>Výroba ostatních dřevěných, korkových, proutěných a slaměných výrobků</t>
  </si>
  <si>
    <t>16280</t>
  </si>
  <si>
    <t>27900</t>
  </si>
  <si>
    <t>Výroba ostatních elektronických a elektrických vodičů a kabelů</t>
  </si>
  <si>
    <t>27320</t>
  </si>
  <si>
    <t>23450</t>
  </si>
  <si>
    <t>Výroba ostatních kovových cisteren, nádrží a podobných nádob</t>
  </si>
  <si>
    <t>25220</t>
  </si>
  <si>
    <t>Výroba ostatních kovových výrobků j. n.</t>
  </si>
  <si>
    <t>25990</t>
  </si>
  <si>
    <t>11040</t>
  </si>
  <si>
    <t>Výroba ostatních nekovových minerálních výrobků j. n.</t>
  </si>
  <si>
    <t>23990</t>
  </si>
  <si>
    <t>28420</t>
  </si>
  <si>
    <t>Výroba ostatních oděvů a oděvních doplňků j. n.</t>
  </si>
  <si>
    <t>14290</t>
  </si>
  <si>
    <t>17119</t>
  </si>
  <si>
    <t>22260</t>
  </si>
  <si>
    <t>14109</t>
  </si>
  <si>
    <t>10890</t>
  </si>
  <si>
    <t>28140</t>
  </si>
  <si>
    <t>22120</t>
  </si>
  <si>
    <t>28290</t>
  </si>
  <si>
    <t>28990</t>
  </si>
  <si>
    <t>13960</t>
  </si>
  <si>
    <t>23440</t>
  </si>
  <si>
    <t>13990</t>
  </si>
  <si>
    <t>16230</t>
  </si>
  <si>
    <t>17250</t>
  </si>
  <si>
    <t>Výroba osvětlovacích zařízení</t>
  </si>
  <si>
    <t>27400</t>
  </si>
  <si>
    <t>10320</t>
  </si>
  <si>
    <t>26600</t>
  </si>
  <si>
    <t>23320</t>
  </si>
  <si>
    <t>17120</t>
  </si>
  <si>
    <t>20420</t>
  </si>
  <si>
    <t>Výroba pecí, kotlů a stálých tepelných zařízení pro domácnosti</t>
  </si>
  <si>
    <t>28210</t>
  </si>
  <si>
    <t>10710</t>
  </si>
  <si>
    <t>Výroba pesticidů, dezinfekčních prostředků a jiných agrochemických přípravků</t>
  </si>
  <si>
    <t>20200</t>
  </si>
  <si>
    <t>Výroba pevných paliv z rostlinné biomasy</t>
  </si>
  <si>
    <t>16260</t>
  </si>
  <si>
    <t>11050</t>
  </si>
  <si>
    <t>22210</t>
  </si>
  <si>
    <t>Výroba plastových dveří a oken</t>
  </si>
  <si>
    <t>22230</t>
  </si>
  <si>
    <t>22220</t>
  </si>
  <si>
    <t>22240</t>
  </si>
  <si>
    <t>20160</t>
  </si>
  <si>
    <t>14101</t>
  </si>
  <si>
    <t>Výroba pletených a háčkovaných textilií</t>
  </si>
  <si>
    <t>13910</t>
  </si>
  <si>
    <t>23110</t>
  </si>
  <si>
    <t>Výroba plochých výrobků ze železa nebo oceli válcovaných za tepla nebo za studena, kromě úzkých pásů válcovaných za studena</t>
  </si>
  <si>
    <t>24102</t>
  </si>
  <si>
    <t>35210</t>
  </si>
  <si>
    <t>26200</t>
  </si>
  <si>
    <t>Výroba porcelánových a keramických výrobků převážně pro domácnost a dekoračních předmětů</t>
  </si>
  <si>
    <t>23410</t>
  </si>
  <si>
    <t>14230</t>
  </si>
  <si>
    <t>Výroba pryžových plášťů a duší a protektorování pneumatik</t>
  </si>
  <si>
    <t>22110</t>
  </si>
  <si>
    <t>Výroba radiátorů k ústřednímu topení a parních kotlů</t>
  </si>
  <si>
    <t>25210</t>
  </si>
  <si>
    <t>Výroba rafinovaných ropných produktů a produktů z fosilních paliv</t>
  </si>
  <si>
    <t>19200</t>
  </si>
  <si>
    <t>28240</t>
  </si>
  <si>
    <t>23620</t>
  </si>
  <si>
    <t>16220</t>
  </si>
  <si>
    <t>23140</t>
  </si>
  <si>
    <t>11060</t>
  </si>
  <si>
    <t>Výroba spojovacích materiálů a výrobků se závity</t>
  </si>
  <si>
    <t>25940</t>
  </si>
  <si>
    <t>32300</t>
  </si>
  <si>
    <t>26400</t>
  </si>
  <si>
    <t>28950</t>
  </si>
  <si>
    <t>28960</t>
  </si>
  <si>
    <t>28930</t>
  </si>
  <si>
    <t>28940</t>
  </si>
  <si>
    <t>Výroba strojů pro aditivní výrobu</t>
  </si>
  <si>
    <t>28970</t>
  </si>
  <si>
    <t>28910</t>
  </si>
  <si>
    <t>28920</t>
  </si>
  <si>
    <t>Výroba sucharů, sušenek a trvanlivých pekařských a cukrářských výrobků</t>
  </si>
  <si>
    <t>10720</t>
  </si>
  <si>
    <t>Výroba surového železa, oceli a feroslitin j. n.</t>
  </si>
  <si>
    <t>24109</t>
  </si>
  <si>
    <t>Výroba svrchních oděvů</t>
  </si>
  <si>
    <t>14210</t>
  </si>
  <si>
    <t>20170</t>
  </si>
  <si>
    <t>10620</t>
  </si>
  <si>
    <t>12000</t>
  </si>
  <si>
    <t>17240</t>
  </si>
  <si>
    <t>20110</t>
  </si>
  <si>
    <t>Výroba tvářecích a obráběcích strojů na opracování kovů</t>
  </si>
  <si>
    <t>28410</t>
  </si>
  <si>
    <t>Výroba tyčí a prutů ze železa nebo oceli válcovaných za tepla</t>
  </si>
  <si>
    <t>24103</t>
  </si>
  <si>
    <t>23520</t>
  </si>
  <si>
    <t>11020</t>
  </si>
  <si>
    <t>Výroba vláknocementových výrobků</t>
  </si>
  <si>
    <t>23650</t>
  </si>
  <si>
    <t>17210</t>
  </si>
  <si>
    <t>30400</t>
  </si>
  <si>
    <t>Výroba vojenských letadel, kosmických lodí a souvisejících zařízení</t>
  </si>
  <si>
    <t>30320</t>
  </si>
  <si>
    <t>21100</t>
  </si>
  <si>
    <t>Výroba základních hutních výrobků ze železa a oceli, výroba surového železa a oceli</t>
  </si>
  <si>
    <t>24101</t>
  </si>
  <si>
    <t>25620</t>
  </si>
  <si>
    <t>Výroba zavazadel, kabelek, sedlářských a řemenářských výrobků z jakýchkoli materiálů</t>
  </si>
  <si>
    <t>15120</t>
  </si>
  <si>
    <t>25300</t>
  </si>
  <si>
    <t>28220</t>
  </si>
  <si>
    <t>28300</t>
  </si>
  <si>
    <t>Výroba zmrzliny a ledu k lidské spotřebě</t>
  </si>
  <si>
    <t>10520</t>
  </si>
  <si>
    <t>23200</t>
  </si>
  <si>
    <t>Výroba železničních lokomotiv a kolejových vozidel</t>
  </si>
  <si>
    <t>30200</t>
  </si>
  <si>
    <t>Výrobu ledu pro chladicí účely</t>
  </si>
  <si>
    <t>35304</t>
  </si>
  <si>
    <t>41000</t>
  </si>
  <si>
    <t>42220</t>
  </si>
  <si>
    <t>42210</t>
  </si>
  <si>
    <t>42130</t>
  </si>
  <si>
    <t>Výstavba ostatních inženýrských děl j. n.</t>
  </si>
  <si>
    <t>42990</t>
  </si>
  <si>
    <t>42110</t>
  </si>
  <si>
    <t>42910</t>
  </si>
  <si>
    <t>42120</t>
  </si>
  <si>
    <t>Výtvarná tvorba</t>
  </si>
  <si>
    <t>90120</t>
  </si>
  <si>
    <t>72100</t>
  </si>
  <si>
    <t>72200</t>
  </si>
  <si>
    <t>85591</t>
  </si>
  <si>
    <t>Zajišťovací činnosti</t>
  </si>
  <si>
    <t>65200</t>
  </si>
  <si>
    <t>53100</t>
  </si>
  <si>
    <t>73120</t>
  </si>
  <si>
    <t>Zednické práce</t>
  </si>
  <si>
    <t>43910</t>
  </si>
  <si>
    <t>Zpracování a konečná úprava dřeva</t>
  </si>
  <si>
    <t>16120</t>
  </si>
  <si>
    <t>Zpracování a konečná úprava plastových výrobků</t>
  </si>
  <si>
    <t>22250</t>
  </si>
  <si>
    <t>10310</t>
  </si>
  <si>
    <t>10120</t>
  </si>
  <si>
    <t>Zpracování a konzervování masa, kromě drůbežího masa</t>
  </si>
  <si>
    <t>10110</t>
  </si>
  <si>
    <t>10200</t>
  </si>
  <si>
    <t>10830</t>
  </si>
  <si>
    <t>24460</t>
  </si>
  <si>
    <t>Zpracování odpadů k energetickému využití</t>
  </si>
  <si>
    <t>38220</t>
  </si>
  <si>
    <t>Zpracování odpadů k ostatnímu využití</t>
  </si>
  <si>
    <t>38230</t>
  </si>
  <si>
    <t>Zpracování odpadů k získání materiálů k dalšímu využití</t>
  </si>
  <si>
    <t>38210</t>
  </si>
  <si>
    <t>Zprostředkování v oblasti nákladní dopravy</t>
  </si>
  <si>
    <t>52310</t>
  </si>
  <si>
    <t>Zprostředkování v oblasti nemovitostí</t>
  </si>
  <si>
    <t>68310</t>
  </si>
  <si>
    <t>Zprostředkování v oblasti nespecializovaného maloobchodu</t>
  </si>
  <si>
    <t>47910</t>
  </si>
  <si>
    <t>Zprostředkování v oblasti nespecializovaného velkoobchodu za provizi</t>
  </si>
  <si>
    <t>46190</t>
  </si>
  <si>
    <t>Zprostředkování v oblasti oprav a údržby počítačů, výrobků pro osobní potřebu a převážně pro domácnost a motorových vozidel a motocyklů</t>
  </si>
  <si>
    <t>95400</t>
  </si>
  <si>
    <t>Zprostředkování v oblasti osobní dopravy</t>
  </si>
  <si>
    <t>52320</t>
  </si>
  <si>
    <t>Zprostředkování v oblasti osobních služeb</t>
  </si>
  <si>
    <t>96400</t>
  </si>
  <si>
    <t>Zprostředkování v oblasti pobytových služeb sociální péče</t>
  </si>
  <si>
    <t>87910</t>
  </si>
  <si>
    <t>Zprostředkování v oblasti podpůrných činností pro podnikání j. n.</t>
  </si>
  <si>
    <t>82400</t>
  </si>
  <si>
    <t>Zprostředkování v oblasti poštovních a kurýrních činností</t>
  </si>
  <si>
    <t>53300</t>
  </si>
  <si>
    <t>Zprostředkování v oblasti pronájmu a leasingu automobilů, obytných automobilů a přívěsů</t>
  </si>
  <si>
    <t>77510</t>
  </si>
  <si>
    <t>Zprostředkování v oblasti pronájmu a leasingu jiných hmotných statků a nefinančních nehmotných aktiv</t>
  </si>
  <si>
    <t>77520</t>
  </si>
  <si>
    <t>Zprostředkování v oblasti specializovaného maloobchodu</t>
  </si>
  <si>
    <t>47920</t>
  </si>
  <si>
    <t>Zprostředkování v oblasti specializovaného velkoobchodu za provizi s ostatním zbožím</t>
  </si>
  <si>
    <t>46180</t>
  </si>
  <si>
    <t>Zprostředkování v oblasti specializovaných stavebních činností</t>
  </si>
  <si>
    <t>43600</t>
  </si>
  <si>
    <t>Zprostředkování v oblasti stravování a podávání nápojů</t>
  </si>
  <si>
    <t>56400</t>
  </si>
  <si>
    <t>Zprostředkování v oblasti ubytování</t>
  </si>
  <si>
    <t>55400</t>
  </si>
  <si>
    <t>Zprostředkování v oblasti velkoobchodu za provizi s nábytkem, železářským zbožím a potřebami převážně pro domácnost</t>
  </si>
  <si>
    <t>46150</t>
  </si>
  <si>
    <t>Zprostředkování v oblasti velkoobchodu za provizi s palivy, rudami, kovy a technickými chemikáliemi</t>
  </si>
  <si>
    <t>46120</t>
  </si>
  <si>
    <t>Zprostředkování v oblasti velkoobchodu za provizi s potravinami, nápoji a tabákovými výrobky</t>
  </si>
  <si>
    <t>46170</t>
  </si>
  <si>
    <t>Zprostředkování v oblasti velkoobchodu za provizi s textilem, oděvy, kožešinami, obuví a koženými výrobky</t>
  </si>
  <si>
    <t>46160</t>
  </si>
  <si>
    <t>Zprostředkování v oblasti velkoobchodu za provizi se dřevem a stavebními materiály</t>
  </si>
  <si>
    <t>46130</t>
  </si>
  <si>
    <t>Zprostředkování v oblasti velkoobchodu za provizi se stroji, průmyslovým zařízením, loděmi a letadly</t>
  </si>
  <si>
    <t>46140</t>
  </si>
  <si>
    <t>Zprostředkování v oblasti velkoobchodu za provizi se základními zemědělskými produkty, živými zvířaty, textilními surovinami a polotovary</t>
  </si>
  <si>
    <t>46110</t>
  </si>
  <si>
    <t>Zprostředkování v oblasti vzdělávání</t>
  </si>
  <si>
    <t>85610</t>
  </si>
  <si>
    <t>Zprostředkování v oblasti zdravotní péče</t>
  </si>
  <si>
    <t>86970</t>
  </si>
  <si>
    <t>86230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</si>
</sst>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 mmmm\ yyyy"/>
    <numFmt numFmtId="166" formatCode="d/m/yyyy;@"/>
    <numFmt numFmtId="167" formatCode="???,???,???"/>
    <numFmt numFmtId="168" formatCode="#,##0.00\ &quot;Kč&quot;"/>
  </numFmts>
  <fonts count="161">
    <font>
      <sz val="10"/>
      <name val="Arial"/>
      <charset val="238"/>
    </font>
    <font>
      <sz val="11"/>
      <color theme="1"/>
      <name val="Calibri"/>
      <family val="2"/>
      <charset val="238"/>
      <scheme val="minor"/>
    </font>
    <font>
      <b/>
      <sz val="10"/>
      <name val="Arial"/>
      <family val="2"/>
      <charset val="238"/>
    </font>
    <font>
      <sz val="10"/>
      <name val="Arial"/>
      <family val="2"/>
      <charset val="238"/>
    </font>
    <font>
      <b/>
      <sz val="12"/>
      <name val="Arial"/>
      <family val="2"/>
      <charset val="238"/>
    </font>
    <font>
      <sz val="10"/>
      <name val="Arial CE"/>
      <charset val="238"/>
    </font>
    <font>
      <b/>
      <sz val="10"/>
      <name val="Arial CE"/>
      <charset val="238"/>
    </font>
    <font>
      <b/>
      <sz val="8"/>
      <name val="Arial CE"/>
      <charset val="238"/>
    </font>
    <font>
      <sz val="8"/>
      <name val="Arial CE"/>
      <charset val="238"/>
    </font>
    <font>
      <sz val="6"/>
      <name val="Arial CE"/>
      <charset val="238"/>
    </font>
    <font>
      <b/>
      <sz val="14"/>
      <name val="Arial CE"/>
      <charset val="238"/>
    </font>
    <font>
      <sz val="8"/>
      <name val="Arial"/>
      <family val="2"/>
      <charset val="238"/>
    </font>
    <font>
      <b/>
      <sz val="10"/>
      <name val="Arial"/>
      <family val="2"/>
      <charset val="238"/>
    </font>
    <font>
      <sz val="8"/>
      <name val="Arial CE"/>
      <family val="2"/>
      <charset val="238"/>
    </font>
    <font>
      <b/>
      <sz val="8"/>
      <name val="Arial CE"/>
      <family val="2"/>
      <charset val="238"/>
    </font>
    <font>
      <i/>
      <sz val="8"/>
      <name val="Arial CE"/>
      <family val="2"/>
      <charset val="238"/>
    </font>
    <font>
      <b/>
      <sz val="10"/>
      <name val="Arial"/>
      <family val="2"/>
      <charset val="238"/>
    </font>
    <font>
      <b/>
      <sz val="9"/>
      <name val="Arial CE"/>
      <family val="2"/>
      <charset val="238"/>
    </font>
    <font>
      <sz val="9"/>
      <name val="Arial CE"/>
      <family val="2"/>
      <charset val="238"/>
    </font>
    <font>
      <sz val="6"/>
      <name val="Arial"/>
      <family val="2"/>
      <charset val="238"/>
    </font>
    <font>
      <b/>
      <sz val="10"/>
      <name val="Arial CE"/>
      <family val="2"/>
      <charset val="238"/>
    </font>
    <font>
      <vertAlign val="superscript"/>
      <sz val="8"/>
      <name val="Arial CE"/>
      <family val="2"/>
      <charset val="238"/>
    </font>
    <font>
      <b/>
      <sz val="22"/>
      <name val="Arial CE"/>
      <family val="2"/>
      <charset val="238"/>
    </font>
    <font>
      <b/>
      <sz val="12"/>
      <name val="Arial CE"/>
      <family val="2"/>
      <charset val="238"/>
    </font>
    <font>
      <sz val="8"/>
      <name val="Arial"/>
      <family val="2"/>
    </font>
    <font>
      <sz val="10"/>
      <name val="Arial CE"/>
      <family val="2"/>
      <charset val="238"/>
    </font>
    <font>
      <sz val="10"/>
      <name val="Arial"/>
      <family val="2"/>
      <charset val="238"/>
    </font>
    <font>
      <b/>
      <sz val="10"/>
      <name val="Arial"/>
      <family val="2"/>
    </font>
    <font>
      <sz val="10"/>
      <name val="Arial"/>
      <family val="2"/>
    </font>
    <font>
      <i/>
      <sz val="8"/>
      <name val="Arial CE"/>
      <charset val="238"/>
    </font>
    <font>
      <b/>
      <sz val="12"/>
      <name val="Arial CE"/>
      <charset val="238"/>
    </font>
    <font>
      <sz val="7"/>
      <name val="Arial"/>
      <family val="2"/>
      <charset val="238"/>
    </font>
    <font>
      <sz val="7"/>
      <name val="Arial CE"/>
      <family val="2"/>
      <charset val="238"/>
    </font>
    <font>
      <b/>
      <u/>
      <sz val="14"/>
      <name val="Arial CE"/>
      <family val="2"/>
      <charset val="238"/>
    </font>
    <font>
      <i/>
      <sz val="8"/>
      <name val="Arial"/>
      <family val="2"/>
    </font>
    <font>
      <vertAlign val="superscript"/>
      <sz val="7"/>
      <name val="Arial CE"/>
      <family val="2"/>
      <charset val="238"/>
    </font>
    <font>
      <i/>
      <sz val="8"/>
      <name val="Arial"/>
      <family val="2"/>
      <charset val="238"/>
    </font>
    <font>
      <b/>
      <sz val="14"/>
      <name val="Arial CE"/>
      <family val="2"/>
      <charset val="238"/>
    </font>
    <font>
      <b/>
      <i/>
      <sz val="10"/>
      <name val="Arial CE"/>
      <family val="2"/>
      <charset val="238"/>
    </font>
    <font>
      <i/>
      <sz val="10"/>
      <name val="Arial CE"/>
      <family val="2"/>
      <charset val="238"/>
    </font>
    <font>
      <sz val="6"/>
      <name val="Arial CE"/>
      <family val="2"/>
      <charset val="238"/>
    </font>
    <font>
      <b/>
      <vertAlign val="superscript"/>
      <sz val="10"/>
      <name val="Arial"/>
      <family val="2"/>
    </font>
    <font>
      <sz val="9"/>
      <name val="Arial"/>
      <family val="2"/>
      <charset val="238"/>
    </font>
    <font>
      <b/>
      <i/>
      <sz val="8"/>
      <name val="Arial"/>
      <family val="2"/>
    </font>
    <font>
      <b/>
      <i/>
      <sz val="8"/>
      <name val="Arial CE"/>
      <family val="2"/>
      <charset val="238"/>
    </font>
    <font>
      <b/>
      <i/>
      <vertAlign val="superscript"/>
      <sz val="8"/>
      <name val="Arial CE"/>
      <family val="2"/>
      <charset val="238"/>
    </font>
    <font>
      <b/>
      <i/>
      <sz val="8"/>
      <name val="Arial CE"/>
      <charset val="238"/>
    </font>
    <font>
      <i/>
      <sz val="7"/>
      <name val="Arial"/>
      <family val="2"/>
    </font>
    <font>
      <sz val="7"/>
      <name val="Arial"/>
      <family val="2"/>
    </font>
    <font>
      <vertAlign val="superscript"/>
      <sz val="7"/>
      <name val="Arial"/>
      <family val="2"/>
    </font>
    <font>
      <b/>
      <u/>
      <sz val="12"/>
      <name val="Arial CE"/>
      <family val="2"/>
      <charset val="238"/>
    </font>
    <font>
      <u/>
      <sz val="12"/>
      <name val="Arial"/>
      <family val="2"/>
      <charset val="238"/>
    </font>
    <font>
      <u/>
      <sz val="10"/>
      <color indexed="12"/>
      <name val="Arial"/>
      <family val="2"/>
      <charset val="238"/>
    </font>
    <font>
      <sz val="10"/>
      <name val="Arial"/>
      <family val="2"/>
      <charset val="238"/>
    </font>
    <font>
      <sz val="8"/>
      <color indexed="81"/>
      <name val="Tahoma"/>
      <family val="2"/>
      <charset val="238"/>
    </font>
    <font>
      <b/>
      <sz val="8"/>
      <color indexed="81"/>
      <name val="Tahoma"/>
      <family val="2"/>
      <charset val="238"/>
    </font>
    <font>
      <b/>
      <vertAlign val="superscript"/>
      <sz val="8"/>
      <name val="Arial CE"/>
      <family val="2"/>
      <charset val="238"/>
    </font>
    <font>
      <b/>
      <sz val="9"/>
      <name val="Arial CE"/>
      <charset val="238"/>
    </font>
    <font>
      <b/>
      <sz val="8"/>
      <name val="Arial"/>
      <family val="2"/>
      <charset val="238"/>
    </font>
    <font>
      <vertAlign val="superscript"/>
      <sz val="8"/>
      <name val="Arial CE"/>
      <charset val="238"/>
    </font>
    <font>
      <vertAlign val="superscript"/>
      <sz val="8"/>
      <name val="Arial"/>
      <family val="2"/>
      <charset val="238"/>
    </font>
    <font>
      <b/>
      <sz val="7"/>
      <name val="Arial CE"/>
      <charset val="238"/>
    </font>
    <font>
      <b/>
      <sz val="8"/>
      <color indexed="10"/>
      <name val="Arial"/>
      <family val="2"/>
    </font>
    <font>
      <sz val="9"/>
      <name val="Arial CE"/>
      <charset val="238"/>
    </font>
    <font>
      <b/>
      <sz val="24"/>
      <name val="Arial CE"/>
      <charset val="238"/>
    </font>
    <font>
      <b/>
      <u/>
      <sz val="14"/>
      <name val="Arial CE"/>
      <charset val="238"/>
    </font>
    <font>
      <sz val="14"/>
      <name val="Arial"/>
      <family val="2"/>
      <charset val="238"/>
    </font>
    <font>
      <b/>
      <i/>
      <sz val="10"/>
      <name val="Arial"/>
      <family val="2"/>
      <charset val="238"/>
    </font>
    <font>
      <i/>
      <sz val="10"/>
      <name val="Arial"/>
      <family val="2"/>
      <charset val="238"/>
    </font>
    <font>
      <i/>
      <sz val="8"/>
      <name val="Arial"/>
      <family val="2"/>
      <charset val="238"/>
    </font>
    <font>
      <sz val="7"/>
      <name val="Arial"/>
      <family val="2"/>
      <charset val="238"/>
    </font>
    <font>
      <b/>
      <sz val="22"/>
      <name val="Arial"/>
      <family val="2"/>
      <charset val="238"/>
    </font>
    <font>
      <b/>
      <sz val="14"/>
      <name val="Arial"/>
      <family val="2"/>
      <charset val="238"/>
    </font>
    <font>
      <b/>
      <sz val="11"/>
      <name val="Arial"/>
      <family val="2"/>
      <charset val="238"/>
    </font>
    <font>
      <sz val="22"/>
      <name val="Arial"/>
      <family val="2"/>
      <charset val="238"/>
    </font>
    <font>
      <b/>
      <sz val="8"/>
      <name val="Arial"/>
      <family val="2"/>
      <charset val="238"/>
    </font>
    <font>
      <b/>
      <sz val="9"/>
      <name val="Arial"/>
      <family val="2"/>
      <charset val="238"/>
    </font>
    <font>
      <b/>
      <sz val="18"/>
      <name val="Arial"/>
      <family val="2"/>
      <charset val="238"/>
    </font>
    <font>
      <i/>
      <u/>
      <sz val="10"/>
      <name val="Arial"/>
      <family val="2"/>
      <charset val="238"/>
    </font>
    <font>
      <b/>
      <u/>
      <sz val="10"/>
      <name val="Arial"/>
      <family val="2"/>
      <charset val="238"/>
    </font>
    <font>
      <b/>
      <i/>
      <u/>
      <sz val="8"/>
      <name val="Arial"/>
      <family val="2"/>
      <charset val="238"/>
    </font>
    <font>
      <b/>
      <sz val="14"/>
      <name val="Arial"/>
      <family val="2"/>
    </font>
    <font>
      <b/>
      <sz val="14"/>
      <name val="Arial"/>
      <family val="2"/>
      <charset val="238"/>
    </font>
    <font>
      <sz val="12"/>
      <name val="Arial"/>
      <family val="2"/>
      <charset val="238"/>
    </font>
    <font>
      <i/>
      <sz val="7"/>
      <name val="Arial"/>
      <family val="2"/>
      <charset val="238"/>
    </font>
    <font>
      <sz val="7"/>
      <name val="Arial CE"/>
      <charset val="238"/>
    </font>
    <font>
      <sz val="9"/>
      <color indexed="81"/>
      <name val="Tahoma"/>
      <family val="2"/>
      <charset val="238"/>
    </font>
    <font>
      <b/>
      <sz val="9"/>
      <color indexed="81"/>
      <name val="Tahoma"/>
      <family val="2"/>
      <charset val="238"/>
    </font>
    <font>
      <vertAlign val="superscript"/>
      <sz val="7"/>
      <name val="Arial CE"/>
      <charset val="238"/>
    </font>
    <font>
      <u/>
      <sz val="10"/>
      <color indexed="12"/>
      <name val="Arial CE"/>
      <charset val="238"/>
    </font>
    <font>
      <sz val="10"/>
      <name val="Inherit"/>
    </font>
    <font>
      <sz val="9"/>
      <color theme="1"/>
      <name val="Arial"/>
      <family val="2"/>
      <charset val="238"/>
    </font>
    <font>
      <sz val="11"/>
      <name val="Calibri"/>
      <family val="2"/>
      <charset val="238"/>
      <scheme val="minor"/>
    </font>
    <font>
      <i/>
      <sz val="9"/>
      <color indexed="81"/>
      <name val="Tahoma"/>
      <family val="2"/>
      <charset val="238"/>
    </font>
    <font>
      <sz val="11"/>
      <name val="Arial CE"/>
      <charset val="238"/>
    </font>
    <font>
      <b/>
      <sz val="11"/>
      <name val="Arial CE"/>
      <charset val="238"/>
    </font>
    <font>
      <b/>
      <u/>
      <sz val="11"/>
      <color indexed="12"/>
      <name val="Arial"/>
      <family val="2"/>
      <charset val="238"/>
    </font>
    <font>
      <sz val="20"/>
      <name val="Arial"/>
      <family val="2"/>
      <charset val="238"/>
    </font>
    <font>
      <sz val="16"/>
      <name val="Arial"/>
      <family val="2"/>
      <charset val="238"/>
    </font>
    <font>
      <b/>
      <vertAlign val="superscript"/>
      <sz val="9"/>
      <name val="Arial CE"/>
      <charset val="238"/>
    </font>
    <font>
      <b/>
      <sz val="10"/>
      <color rgb="FFFF0000"/>
      <name val="Arial"/>
      <family val="2"/>
      <charset val="238"/>
    </font>
    <font>
      <b/>
      <sz val="18"/>
      <color theme="1"/>
      <name val="Arial"/>
      <family val="2"/>
      <charset val="238"/>
    </font>
    <font>
      <b/>
      <sz val="11"/>
      <color theme="1"/>
      <name val="Arial"/>
      <family val="2"/>
      <charset val="238"/>
    </font>
    <font>
      <b/>
      <i/>
      <sz val="9"/>
      <color theme="1"/>
      <name val="Arial"/>
      <family val="2"/>
      <charset val="238"/>
    </font>
    <font>
      <b/>
      <sz val="9"/>
      <color theme="1"/>
      <name val="Arial"/>
      <family val="2"/>
      <charset val="238"/>
    </font>
    <font>
      <sz val="8"/>
      <color theme="1"/>
      <name val="Arial"/>
      <family val="2"/>
      <charset val="238"/>
    </font>
    <font>
      <b/>
      <sz val="8"/>
      <color theme="1"/>
      <name val="Arial"/>
      <family val="2"/>
      <charset val="238"/>
    </font>
    <font>
      <sz val="10"/>
      <color theme="3"/>
      <name val="Arial"/>
      <family val="2"/>
      <charset val="238"/>
    </font>
    <font>
      <sz val="9"/>
      <color theme="3"/>
      <name val="Arial CE"/>
      <family val="2"/>
      <charset val="238"/>
    </font>
    <font>
      <b/>
      <sz val="12"/>
      <color theme="1"/>
      <name val="Arial"/>
      <family val="2"/>
      <charset val="238"/>
    </font>
    <font>
      <b/>
      <i/>
      <sz val="9"/>
      <name val="Arial"/>
      <family val="2"/>
      <charset val="238"/>
    </font>
    <font>
      <sz val="10"/>
      <color rgb="FF9C0006"/>
      <name val="Arial"/>
      <family val="2"/>
      <charset val="238"/>
    </font>
    <font>
      <b/>
      <u/>
      <sz val="18"/>
      <name val="Arial"/>
      <family val="2"/>
      <charset val="238"/>
    </font>
    <font>
      <sz val="12"/>
      <name val="Arial CE"/>
      <charset val="238"/>
    </font>
    <font>
      <b/>
      <i/>
      <sz val="12"/>
      <name val="Arial CE"/>
      <charset val="238"/>
    </font>
    <font>
      <i/>
      <sz val="12"/>
      <name val="Arial CE"/>
      <charset val="238"/>
    </font>
    <font>
      <b/>
      <u/>
      <sz val="12"/>
      <name val="Arial CE"/>
      <charset val="238"/>
    </font>
    <font>
      <b/>
      <u/>
      <sz val="12"/>
      <color indexed="12"/>
      <name val="Arial"/>
      <family val="2"/>
      <charset val="238"/>
    </font>
    <font>
      <vertAlign val="superscript"/>
      <sz val="10"/>
      <name val="Arial CE"/>
      <charset val="238"/>
    </font>
    <font>
      <i/>
      <sz val="10"/>
      <name val="Arial CE"/>
      <charset val="238"/>
    </font>
    <font>
      <vertAlign val="superscript"/>
      <sz val="10"/>
      <name val="Arial"/>
      <family val="2"/>
      <charset val="238"/>
    </font>
    <font>
      <b/>
      <i/>
      <sz val="9"/>
      <name val="Arial CE"/>
      <family val="2"/>
      <charset val="238"/>
    </font>
    <font>
      <b/>
      <sz val="12"/>
      <color rgb="FFFF0000"/>
      <name val="Arial CE"/>
      <charset val="238"/>
    </font>
    <font>
      <u/>
      <sz val="11"/>
      <name val="Arial CE"/>
      <charset val="238"/>
    </font>
    <font>
      <b/>
      <u/>
      <sz val="11"/>
      <name val="Arial CE"/>
      <charset val="238"/>
    </font>
    <font>
      <b/>
      <sz val="11"/>
      <color rgb="FF3399FF"/>
      <name val="Arial CE"/>
      <charset val="238"/>
    </font>
    <font>
      <i/>
      <sz val="9"/>
      <color theme="1"/>
      <name val="Arial"/>
      <family val="2"/>
      <charset val="238"/>
    </font>
    <font>
      <vertAlign val="superscript"/>
      <sz val="9"/>
      <color theme="1"/>
      <name val="Arial"/>
      <family val="2"/>
      <charset val="238"/>
    </font>
    <font>
      <vertAlign val="superscript"/>
      <sz val="8"/>
      <color theme="1"/>
      <name val="Arial"/>
      <family val="2"/>
      <charset val="238"/>
    </font>
    <font>
      <b/>
      <sz val="10"/>
      <name val="Calibri"/>
      <family val="2"/>
      <charset val="238"/>
      <scheme val="minor"/>
    </font>
    <font>
      <sz val="10"/>
      <name val="Calibri"/>
      <family val="2"/>
      <charset val="238"/>
      <scheme val="minor"/>
    </font>
    <font>
      <sz val="10"/>
      <color theme="1"/>
      <name val="Calibri"/>
      <family val="2"/>
      <charset val="238"/>
      <scheme val="minor"/>
    </font>
    <font>
      <sz val="10"/>
      <color rgb="FFFF0000"/>
      <name val="Calibri"/>
      <family val="2"/>
      <charset val="238"/>
      <scheme val="minor"/>
    </font>
    <font>
      <sz val="10"/>
      <color rgb="FF000000"/>
      <name val="Calibri"/>
      <family val="2"/>
      <charset val="238"/>
      <scheme val="minor"/>
    </font>
    <font>
      <b/>
      <sz val="18"/>
      <color rgb="FFFF0000"/>
      <name val="Arial"/>
      <family val="2"/>
      <charset val="238"/>
    </font>
    <font>
      <i/>
      <sz val="8"/>
      <color indexed="10"/>
      <name val="Arial"/>
      <family val="2"/>
      <charset val="238"/>
    </font>
    <font>
      <i/>
      <sz val="7"/>
      <color rgb="FFFF0000"/>
      <name val="Arial"/>
      <family val="2"/>
      <charset val="238"/>
    </font>
    <font>
      <sz val="7"/>
      <color rgb="FFFF0000"/>
      <name val="Arial"/>
      <family val="2"/>
      <charset val="238"/>
    </font>
    <font>
      <b/>
      <sz val="12"/>
      <color rgb="FFFF0000"/>
      <name val="Arial"/>
      <family val="2"/>
      <charset val="238"/>
    </font>
    <font>
      <b/>
      <sz val="9"/>
      <color rgb="FFFF0000"/>
      <name val="Arial CE"/>
      <charset val="238"/>
    </font>
    <font>
      <b/>
      <sz val="8"/>
      <color rgb="FFFF0000"/>
      <name val="Arial"/>
      <family val="2"/>
      <charset val="238"/>
    </font>
    <font>
      <sz val="8"/>
      <color rgb="FFFF0000"/>
      <name val="Arial"/>
      <family val="2"/>
      <charset val="238"/>
    </font>
    <font>
      <b/>
      <sz val="9"/>
      <color rgb="FFFF0000"/>
      <name val="Arial"/>
      <family val="2"/>
      <charset val="238"/>
    </font>
    <font>
      <sz val="10"/>
      <color rgb="FFFF0000"/>
      <name val="Arial"/>
      <family val="2"/>
      <charset val="238"/>
    </font>
    <font>
      <b/>
      <sz val="7"/>
      <color rgb="FFFF0000"/>
      <name val="Arial"/>
      <family val="2"/>
      <charset val="238"/>
    </font>
    <font>
      <i/>
      <sz val="8"/>
      <color rgb="FFFF0000"/>
      <name val="Arial"/>
      <family val="2"/>
      <charset val="238"/>
    </font>
    <font>
      <b/>
      <sz val="10"/>
      <color theme="0"/>
      <name val="Arial"/>
      <family val="2"/>
      <charset val="238"/>
    </font>
    <font>
      <sz val="11"/>
      <name val="Courier New"/>
      <family val="3"/>
      <charset val="238"/>
    </font>
    <font>
      <b/>
      <sz val="11"/>
      <name val="Courier New"/>
      <family val="3"/>
      <charset val="238"/>
    </font>
    <font>
      <sz val="10"/>
      <color theme="0"/>
      <name val="Arial"/>
      <family val="2"/>
      <charset val="238"/>
    </font>
    <font>
      <b/>
      <sz val="6"/>
      <color rgb="FFFF0000"/>
      <name val="Arial"/>
      <family val="2"/>
      <charset val="238"/>
    </font>
    <font>
      <b/>
      <sz val="7"/>
      <color rgb="FFFF0000"/>
      <name val="Arial CE"/>
      <charset val="238"/>
    </font>
    <font>
      <b/>
      <sz val="11"/>
      <color rgb="FFFF0000"/>
      <name val="Arial"/>
      <family val="2"/>
      <charset val="238"/>
    </font>
    <font>
      <sz val="10"/>
      <name val="Courier New"/>
      <family val="3"/>
      <charset val="238"/>
    </font>
    <font>
      <sz val="11"/>
      <color rgb="FFFF0000"/>
      <name val="Arial"/>
      <family val="2"/>
      <charset val="238"/>
    </font>
    <font>
      <b/>
      <sz val="7"/>
      <name val="Arial"/>
      <family val="2"/>
      <charset val="238"/>
    </font>
    <font>
      <b/>
      <i/>
      <sz val="8"/>
      <color indexed="10"/>
      <name val="Arial"/>
      <family val="2"/>
      <charset val="238"/>
    </font>
    <font>
      <b/>
      <sz val="6"/>
      <name val="Arial"/>
      <family val="2"/>
      <charset val="238"/>
    </font>
    <font>
      <sz val="11"/>
      <name val="Arial"/>
      <family val="2"/>
      <charset val="238"/>
    </font>
    <font>
      <b/>
      <i/>
      <sz val="8"/>
      <name val="Arial"/>
      <family val="2"/>
      <charset val="238"/>
    </font>
    <font>
      <sz val="11"/>
      <color theme="1"/>
      <name val="Calibri"/>
      <family val="2"/>
      <scheme val="minor"/>
    </font>
  </fonts>
  <fills count="4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32"/>
      </patternFill>
    </fill>
    <fill>
      <patternFill patternType="solid">
        <fgColor indexed="8"/>
        <bgColor indexed="32"/>
      </patternFill>
    </fill>
    <fill>
      <patternFill patternType="solid">
        <fgColor indexed="9"/>
        <bgColor indexed="32"/>
      </patternFill>
    </fill>
    <fill>
      <patternFill patternType="solid">
        <fgColor indexed="9"/>
        <bgColor indexed="9"/>
      </patternFill>
    </fill>
    <fill>
      <patternFill patternType="solid">
        <fgColor indexed="26"/>
        <bgColor indexed="64"/>
      </patternFill>
    </fill>
    <fill>
      <patternFill patternType="solid">
        <fgColor indexed="47"/>
        <bgColor indexed="32"/>
      </patternFill>
    </fill>
    <fill>
      <patternFill patternType="solid">
        <fgColor indexed="43"/>
        <bgColor indexed="32"/>
      </patternFill>
    </fill>
    <fill>
      <patternFill patternType="solid">
        <fgColor indexed="24"/>
        <bgColor indexed="32"/>
      </patternFill>
    </fill>
    <fill>
      <patternFill patternType="solid">
        <fgColor indexed="31"/>
        <bgColor indexed="32"/>
      </patternFill>
    </fill>
    <fill>
      <patternFill patternType="solid">
        <fgColor rgb="FFFFFF00"/>
        <bgColor indexed="64"/>
      </patternFill>
    </fill>
    <fill>
      <patternFill patternType="solid">
        <fgColor rgb="FFFFFF99"/>
        <bgColor indexed="32"/>
      </patternFill>
    </fill>
    <fill>
      <patternFill patternType="solid">
        <fgColor theme="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24994659260841701"/>
        <bgColor indexed="64"/>
      </patternFill>
    </fill>
    <fill>
      <patternFill patternType="solid">
        <fgColor rgb="FFFFCCCC"/>
        <bgColor indexed="64"/>
      </patternFill>
    </fill>
    <fill>
      <patternFill patternType="solid">
        <fgColor theme="0"/>
        <bgColor indexed="32"/>
      </patternFill>
    </fill>
    <fill>
      <patternFill patternType="solid">
        <fgColor theme="2"/>
        <bgColor indexed="64"/>
      </patternFill>
    </fill>
    <fill>
      <patternFill patternType="solid">
        <fgColor rgb="FFFFC7CE"/>
      </patternFill>
    </fill>
    <fill>
      <patternFill patternType="solid">
        <fgColor theme="0" tint="-4.9989318521683403E-2"/>
        <bgColor indexed="64"/>
      </patternFill>
    </fill>
    <fill>
      <patternFill patternType="solid">
        <fgColor rgb="FFFFCCCC"/>
        <bgColor indexed="32"/>
      </patternFill>
    </fill>
    <fill>
      <patternFill patternType="solid">
        <fgColor theme="1"/>
        <bgColor indexed="32"/>
      </patternFill>
    </fill>
    <fill>
      <patternFill patternType="solid">
        <fgColor indexed="61"/>
        <bgColor indexed="32"/>
      </patternFill>
    </fill>
    <fill>
      <patternFill patternType="solid">
        <fgColor theme="0"/>
        <bgColor indexed="22"/>
      </patternFill>
    </fill>
    <fill>
      <patternFill patternType="solid">
        <fgColor rgb="FFFF9999"/>
        <bgColor indexed="32"/>
      </patternFill>
    </fill>
    <fill>
      <patternFill patternType="solid">
        <fgColor rgb="FFFFFFCC"/>
        <bgColor indexed="64"/>
      </patternFill>
    </fill>
    <fill>
      <patternFill patternType="solid">
        <fgColor rgb="FFFFFFCC"/>
        <bgColor indexed="32"/>
      </patternFill>
    </fill>
    <fill>
      <patternFill patternType="solid">
        <fgColor rgb="FFFFFF00"/>
        <bgColor indexed="32"/>
      </patternFill>
    </fill>
    <fill>
      <patternFill patternType="solid">
        <fgColor rgb="FFFF9999"/>
        <bgColor indexed="64"/>
      </patternFill>
    </fill>
    <fill>
      <patternFill patternType="solid">
        <fgColor indexed="9"/>
        <bgColor indexed="22"/>
      </patternFill>
    </fill>
    <fill>
      <patternFill patternType="solid">
        <fgColor rgb="FFFFFFCC"/>
        <bgColor indexed="22"/>
      </patternFill>
    </fill>
    <fill>
      <patternFill patternType="solid">
        <fgColor theme="0" tint="-0.24994659260841701"/>
        <bgColor indexed="32"/>
      </patternFill>
    </fill>
    <fill>
      <patternFill patternType="solid">
        <fgColor theme="0" tint="-0.14996795556505021"/>
        <bgColor indexed="32"/>
      </patternFill>
    </fill>
    <fill>
      <patternFill patternType="solid">
        <fgColor theme="0" tint="-0.14999847407452621"/>
        <bgColor indexed="64"/>
      </patternFill>
    </fill>
    <fill>
      <patternFill patternType="solid">
        <fgColor theme="0" tint="-0.14999847407452621"/>
        <bgColor indexed="32"/>
      </patternFill>
    </fill>
  </fills>
  <borders count="192">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10"/>
      </left>
      <right/>
      <top/>
      <bottom/>
      <diagonal/>
    </border>
    <border>
      <left/>
      <right style="thin">
        <color indexed="10"/>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59"/>
      </left>
      <right/>
      <top style="thin">
        <color indexed="59"/>
      </top>
      <bottom style="thin">
        <color indexed="59"/>
      </bottom>
      <diagonal/>
    </border>
    <border>
      <left/>
      <right/>
      <top style="thin">
        <color indexed="59"/>
      </top>
      <bottom style="thin">
        <color indexed="59"/>
      </bottom>
      <diagonal/>
    </border>
    <border>
      <left/>
      <right style="thin">
        <color indexed="59"/>
      </right>
      <top style="thin">
        <color indexed="59"/>
      </top>
      <bottom style="thin">
        <color indexed="59"/>
      </bottom>
      <diagonal/>
    </border>
    <border>
      <left/>
      <right/>
      <top/>
      <bottom style="thin">
        <color indexed="59"/>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style="dotted">
        <color auto="1"/>
      </left>
      <right style="dotted">
        <color auto="1"/>
      </right>
      <top style="medium">
        <color rgb="FFFF0000"/>
      </top>
      <bottom style="dotted">
        <color auto="1"/>
      </bottom>
      <diagonal/>
    </border>
    <border>
      <left/>
      <right style="medium">
        <color rgb="FFFF0000"/>
      </right>
      <top style="medium">
        <color rgb="FFFF0000"/>
      </top>
      <bottom/>
      <diagonal/>
    </border>
    <border>
      <left style="medium">
        <color rgb="FFFF0000"/>
      </left>
      <right/>
      <top/>
      <bottom/>
      <diagonal/>
    </border>
    <border>
      <left style="dotted">
        <color auto="1"/>
      </left>
      <right style="dotted">
        <color auto="1"/>
      </right>
      <top style="dotted">
        <color auto="1"/>
      </top>
      <bottom style="dotted">
        <color auto="1"/>
      </bottom>
      <diagonal/>
    </border>
    <border>
      <left/>
      <right style="medium">
        <color rgb="FFFF0000"/>
      </right>
      <top/>
      <bottom/>
      <diagonal/>
    </border>
    <border>
      <left style="dotted">
        <color auto="1"/>
      </left>
      <right style="medium">
        <color rgb="FFFF0000"/>
      </right>
      <top style="dotted">
        <color auto="1"/>
      </top>
      <bottom style="dotted">
        <color auto="1"/>
      </bottom>
      <diagonal/>
    </border>
    <border>
      <left style="medium">
        <color rgb="FFFF0000"/>
      </left>
      <right/>
      <top/>
      <bottom style="medium">
        <color rgb="FFFF0000"/>
      </bottom>
      <diagonal/>
    </border>
    <border>
      <left/>
      <right/>
      <top/>
      <bottom style="medium">
        <color rgb="FFFF0000"/>
      </bottom>
      <diagonal/>
    </border>
    <border>
      <left style="dotted">
        <color auto="1"/>
      </left>
      <right style="dotted">
        <color auto="1"/>
      </right>
      <top style="dotted">
        <color auto="1"/>
      </top>
      <bottom style="medium">
        <color rgb="FFFF0000"/>
      </bottom>
      <diagonal/>
    </border>
    <border>
      <left/>
      <right style="medium">
        <color rgb="FFFF0000"/>
      </right>
      <top/>
      <bottom style="medium">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10"/>
      </left>
      <right style="thin">
        <color indexed="10"/>
      </right>
      <top style="thin">
        <color indexed="10"/>
      </top>
      <bottom style="thin">
        <color indexed="1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3">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5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5" fillId="0" borderId="0"/>
    <xf numFmtId="0" fontId="5" fillId="0" borderId="0"/>
    <xf numFmtId="0" fontId="89" fillId="0" borderId="0" applyNumberFormat="0" applyFill="0" applyBorder="0" applyAlignment="0" applyProtection="0">
      <alignment vertical="top"/>
      <protection locked="0"/>
    </xf>
    <xf numFmtId="0" fontId="3" fillId="0" borderId="0"/>
    <xf numFmtId="0" fontId="1" fillId="0" borderId="0"/>
    <xf numFmtId="0" fontId="111" fillId="23" borderId="0" applyNumberFormat="0" applyBorder="0" applyAlignment="0" applyProtection="0"/>
  </cellStyleXfs>
  <cellXfs count="2578">
    <xf numFmtId="0" fontId="0" fillId="0" borderId="0" xfId="0"/>
    <xf numFmtId="0" fontId="19" fillId="0" borderId="0" xfId="0" applyFont="1"/>
    <xf numFmtId="0" fontId="0" fillId="2" borderId="0" xfId="0" applyFill="1"/>
    <xf numFmtId="0" fontId="5" fillId="2" borderId="0" xfId="0" applyFont="1" applyFill="1"/>
    <xf numFmtId="0" fontId="6" fillId="2" borderId="0" xfId="0" applyFont="1" applyFill="1"/>
    <xf numFmtId="0" fontId="16" fillId="2" borderId="0" xfId="0" applyFont="1" applyFill="1"/>
    <xf numFmtId="0" fontId="19" fillId="2" borderId="0" xfId="0" applyFont="1" applyFill="1"/>
    <xf numFmtId="0" fontId="8" fillId="3" borderId="1" xfId="0" applyFont="1" applyFill="1" applyBorder="1" applyAlignment="1">
      <alignment horizontal="center"/>
    </xf>
    <xf numFmtId="0" fontId="5" fillId="2" borderId="2"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13" fillId="3" borderId="0" xfId="0" applyFont="1" applyFill="1" applyAlignment="1">
      <alignment horizontal="center"/>
    </xf>
    <xf numFmtId="0" fontId="6" fillId="3" borderId="0" xfId="0" applyFont="1" applyFill="1" applyAlignment="1">
      <alignment horizontal="center"/>
    </xf>
    <xf numFmtId="49" fontId="8" fillId="2" borderId="4"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49" fontId="5" fillId="2" borderId="6" xfId="0" applyNumberFormat="1" applyFont="1" applyFill="1" applyBorder="1" applyAlignment="1" applyProtection="1">
      <alignment horizontal="center"/>
      <protection locked="0"/>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1" fillId="2" borderId="0" xfId="0" applyFont="1" applyFill="1"/>
    <xf numFmtId="0" fontId="0" fillId="5" borderId="0" xfId="0" applyFill="1"/>
    <xf numFmtId="0" fontId="24" fillId="6" borderId="2" xfId="0" applyFont="1" applyFill="1" applyBorder="1" applyAlignment="1">
      <alignment horizontal="center"/>
    </xf>
    <xf numFmtId="0" fontId="24" fillId="6" borderId="1"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49" fontId="25" fillId="2" borderId="2" xfId="0" applyNumberFormat="1" applyFont="1" applyFill="1" applyBorder="1" applyAlignment="1" applyProtection="1">
      <alignment horizontal="center"/>
      <protection locked="0"/>
    </xf>
    <xf numFmtId="49" fontId="26" fillId="7" borderId="2" xfId="0" applyNumberFormat="1" applyFont="1" applyFill="1" applyBorder="1" applyAlignment="1" applyProtection="1">
      <alignment horizontal="center"/>
      <protection locked="0"/>
    </xf>
    <xf numFmtId="10" fontId="5" fillId="2" borderId="1" xfId="0" applyNumberFormat="1" applyFont="1" applyFill="1" applyBorder="1" applyAlignment="1" applyProtection="1">
      <alignment horizontal="center"/>
      <protection locked="0"/>
    </xf>
    <xf numFmtId="10" fontId="5" fillId="2" borderId="2" xfId="0" applyNumberFormat="1" applyFont="1" applyFill="1" applyBorder="1" applyAlignment="1" applyProtection="1">
      <alignment horizontal="center"/>
      <protection locked="0"/>
    </xf>
    <xf numFmtId="10" fontId="5" fillId="2" borderId="3" xfId="0" applyNumberFormat="1" applyFont="1" applyFill="1" applyBorder="1" applyAlignment="1" applyProtection="1">
      <alignment horizontal="center"/>
      <protection locked="0"/>
    </xf>
    <xf numFmtId="10" fontId="5" fillId="2" borderId="9" xfId="0" applyNumberFormat="1" applyFont="1" applyFill="1" applyBorder="1" applyAlignment="1" applyProtection="1">
      <alignment horizontal="center"/>
      <protection locked="0"/>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wrapText="1"/>
    </xf>
    <xf numFmtId="0" fontId="24" fillId="7" borderId="12" xfId="0" applyFont="1" applyFill="1" applyBorder="1" applyAlignment="1">
      <alignment vertical="top"/>
    </xf>
    <xf numFmtId="0" fontId="24" fillId="7" borderId="13" xfId="0" applyFont="1" applyFill="1" applyBorder="1" applyAlignment="1">
      <alignment vertical="top"/>
    </xf>
    <xf numFmtId="10" fontId="0" fillId="7" borderId="14" xfId="0" applyNumberFormat="1" applyFill="1" applyBorder="1" applyAlignment="1" applyProtection="1">
      <alignment horizontal="right"/>
      <protection locked="0"/>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5" xfId="0" applyFont="1" applyFill="1" applyBorder="1" applyAlignment="1">
      <alignment horizontal="center" vertical="center"/>
    </xf>
    <xf numFmtId="0" fontId="0" fillId="8" borderId="0" xfId="0" applyFill="1"/>
    <xf numFmtId="0" fontId="5" fillId="8" borderId="0" xfId="0" applyFont="1" applyFill="1"/>
    <xf numFmtId="0" fontId="30" fillId="9" borderId="0" xfId="0" applyFont="1" applyFill="1"/>
    <xf numFmtId="0" fontId="6" fillId="9" borderId="16" xfId="0" applyFont="1" applyFill="1" applyBorder="1"/>
    <xf numFmtId="0" fontId="6" fillId="9" borderId="17" xfId="0" applyFont="1" applyFill="1" applyBorder="1" applyAlignment="1">
      <alignment horizontal="center"/>
    </xf>
    <xf numFmtId="0" fontId="6" fillId="9" borderId="18" xfId="0" applyFont="1" applyFill="1" applyBorder="1" applyAlignment="1">
      <alignment horizontal="center"/>
    </xf>
    <xf numFmtId="0" fontId="5" fillId="9" borderId="4" xfId="0" applyFont="1" applyFill="1" applyBorder="1"/>
    <xf numFmtId="0" fontId="5" fillId="9" borderId="8" xfId="0" applyFont="1" applyFill="1" applyBorder="1"/>
    <xf numFmtId="0" fontId="38" fillId="9" borderId="8" xfId="0" applyFont="1" applyFill="1" applyBorder="1"/>
    <xf numFmtId="0" fontId="5" fillId="9" borderId="5" xfId="0" applyFont="1" applyFill="1" applyBorder="1"/>
    <xf numFmtId="0" fontId="6" fillId="9" borderId="19" xfId="0" applyFont="1" applyFill="1" applyBorder="1"/>
    <xf numFmtId="0" fontId="5" fillId="9" borderId="20" xfId="0" applyFont="1" applyFill="1" applyBorder="1"/>
    <xf numFmtId="0" fontId="6" fillId="9" borderId="21" xfId="0" applyFont="1" applyFill="1" applyBorder="1" applyAlignment="1">
      <alignment horizontal="center"/>
    </xf>
    <xf numFmtId="0" fontId="5" fillId="9" borderId="22" xfId="0" applyFont="1" applyFill="1" applyBorder="1"/>
    <xf numFmtId="0" fontId="5" fillId="9" borderId="23" xfId="0" applyFont="1" applyFill="1" applyBorder="1"/>
    <xf numFmtId="0" fontId="5" fillId="9" borderId="24" xfId="0" applyFont="1" applyFill="1" applyBorder="1"/>
    <xf numFmtId="0" fontId="5" fillId="9" borderId="0" xfId="0" applyFont="1" applyFill="1"/>
    <xf numFmtId="0" fontId="39" fillId="9" borderId="8" xfId="0" applyFont="1" applyFill="1" applyBorder="1"/>
    <xf numFmtId="0" fontId="39" fillId="9" borderId="25" xfId="0" applyFont="1" applyFill="1" applyBorder="1"/>
    <xf numFmtId="0" fontId="38" fillId="9" borderId="15" xfId="0" applyFont="1" applyFill="1" applyBorder="1"/>
    <xf numFmtId="3" fontId="25" fillId="7" borderId="2" xfId="0" applyNumberFormat="1" applyFont="1" applyFill="1" applyBorder="1" applyAlignment="1">
      <alignment horizontal="center" vertical="center"/>
    </xf>
    <xf numFmtId="3" fontId="25" fillId="7" borderId="3" xfId="0" applyNumberFormat="1" applyFont="1" applyFill="1" applyBorder="1" applyAlignment="1">
      <alignment horizontal="center" vertical="center"/>
    </xf>
    <xf numFmtId="0" fontId="25" fillId="3" borderId="1" xfId="0" applyFont="1" applyFill="1" applyBorder="1" applyAlignment="1">
      <alignment horizontal="left"/>
    </xf>
    <xf numFmtId="0" fontId="20" fillId="3" borderId="0" xfId="0" applyFont="1" applyFill="1" applyAlignment="1">
      <alignment horizontal="right"/>
    </xf>
    <xf numFmtId="0" fontId="27" fillId="3" borderId="0" xfId="0" applyFont="1" applyFill="1" applyAlignment="1">
      <alignment horizontal="center"/>
    </xf>
    <xf numFmtId="0" fontId="13" fillId="3" borderId="0" xfId="0" applyFont="1" applyFill="1" applyAlignment="1">
      <alignment horizontal="left"/>
    </xf>
    <xf numFmtId="0" fontId="20" fillId="2" borderId="2" xfId="0" applyFont="1" applyFill="1" applyBorder="1" applyAlignment="1" applyProtection="1">
      <alignment horizontal="center" vertical="center"/>
      <protection locked="0"/>
    </xf>
    <xf numFmtId="0" fontId="13" fillId="3" borderId="0" xfId="0" applyFont="1" applyFill="1" applyAlignment="1">
      <alignment horizontal="center" wrapText="1"/>
    </xf>
    <xf numFmtId="0" fontId="13"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13" fillId="3" borderId="26" xfId="0" applyFont="1" applyFill="1" applyBorder="1" applyAlignment="1">
      <alignment horizontal="center"/>
    </xf>
    <xf numFmtId="3" fontId="25" fillId="7" borderId="1" xfId="0" applyNumberFormat="1" applyFont="1" applyFill="1" applyBorder="1" applyAlignment="1">
      <alignment horizontal="center" vertical="center"/>
    </xf>
    <xf numFmtId="3" fontId="13" fillId="6" borderId="27" xfId="0" applyNumberFormat="1" applyFont="1" applyFill="1" applyBorder="1" applyAlignment="1">
      <alignment horizontal="center" vertical="center" wrapText="1" shrinkToFit="1"/>
    </xf>
    <xf numFmtId="0" fontId="11" fillId="6" borderId="6" xfId="0" applyFont="1" applyFill="1" applyBorder="1" applyAlignment="1">
      <alignment horizontal="center" wrapText="1" shrinkToFit="1"/>
    </xf>
    <xf numFmtId="0" fontId="13" fillId="3" borderId="16" xfId="0" applyFont="1" applyFill="1" applyBorder="1" applyAlignment="1">
      <alignment horizontal="center" vertical="center"/>
    </xf>
    <xf numFmtId="0" fontId="36" fillId="0" borderId="0" xfId="0" applyFont="1"/>
    <xf numFmtId="0" fontId="36" fillId="7" borderId="0" xfId="0" applyFont="1" applyFill="1"/>
    <xf numFmtId="0" fontId="13" fillId="3" borderId="28" xfId="0" applyFont="1" applyFill="1" applyBorder="1" applyAlignment="1">
      <alignment horizontal="center" vertical="center"/>
    </xf>
    <xf numFmtId="0" fontId="25" fillId="3" borderId="29" xfId="0" applyFont="1" applyFill="1" applyBorder="1" applyAlignment="1">
      <alignment horizontal="left"/>
    </xf>
    <xf numFmtId="0" fontId="25" fillId="3" borderId="21" xfId="0" applyFont="1" applyFill="1" applyBorder="1" applyAlignment="1">
      <alignment horizontal="left"/>
    </xf>
    <xf numFmtId="0" fontId="13" fillId="3" borderId="1" xfId="0" applyFont="1" applyFill="1" applyBorder="1" applyAlignment="1">
      <alignment horizontal="center"/>
    </xf>
    <xf numFmtId="0" fontId="0" fillId="6" borderId="30" xfId="0" applyFill="1" applyBorder="1"/>
    <xf numFmtId="0" fontId="8" fillId="3" borderId="10" xfId="0" applyFont="1" applyFill="1" applyBorder="1" applyAlignment="1">
      <alignment horizontal="center"/>
    </xf>
    <xf numFmtId="0" fontId="25" fillId="7" borderId="2"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3" fontId="25" fillId="7" borderId="9" xfId="0" applyNumberFormat="1" applyFont="1" applyFill="1" applyBorder="1" applyAlignment="1">
      <alignment horizontal="center" vertical="center"/>
    </xf>
    <xf numFmtId="49" fontId="0" fillId="7" borderId="31" xfId="0" applyNumberFormat="1" applyFill="1" applyBorder="1" applyAlignment="1" applyProtection="1">
      <alignment horizontal="right"/>
      <protection locked="0"/>
    </xf>
    <xf numFmtId="49" fontId="3" fillId="7" borderId="2" xfId="0" applyNumberFormat="1" applyFont="1" applyFill="1" applyBorder="1" applyAlignment="1" applyProtection="1">
      <alignment horizontal="center"/>
      <protection locked="0"/>
    </xf>
    <xf numFmtId="49" fontId="53" fillId="7" borderId="2" xfId="0" applyNumberFormat="1" applyFont="1" applyFill="1" applyBorder="1" applyAlignment="1" applyProtection="1">
      <alignment horizontal="center"/>
      <protection locked="0"/>
    </xf>
    <xf numFmtId="10" fontId="53" fillId="7" borderId="2" xfId="0" applyNumberFormat="1" applyFont="1" applyFill="1" applyBorder="1" applyAlignment="1" applyProtection="1">
      <alignment horizontal="center"/>
      <protection locked="0"/>
    </xf>
    <xf numFmtId="10" fontId="53" fillId="7" borderId="1" xfId="0" applyNumberFormat="1" applyFont="1" applyFill="1" applyBorder="1" applyAlignment="1" applyProtection="1">
      <alignment horizontal="center"/>
      <protection locked="0"/>
    </xf>
    <xf numFmtId="49" fontId="53" fillId="7" borderId="3" xfId="0" applyNumberFormat="1" applyFont="1" applyFill="1" applyBorder="1" applyAlignment="1" applyProtection="1">
      <alignment horizontal="center"/>
      <protection locked="0"/>
    </xf>
    <xf numFmtId="0" fontId="25" fillId="2" borderId="1" xfId="0" applyFont="1" applyFill="1" applyBorder="1" applyAlignment="1" applyProtection="1">
      <alignment horizontal="center" vertical="center"/>
      <protection locked="0"/>
    </xf>
    <xf numFmtId="0" fontId="5" fillId="2" borderId="0" xfId="0" applyFont="1" applyFill="1" applyProtection="1">
      <protection locked="0"/>
    </xf>
    <xf numFmtId="0" fontId="0" fillId="5" borderId="0" xfId="0" applyFill="1" applyAlignment="1">
      <alignment wrapText="1"/>
    </xf>
    <xf numFmtId="0" fontId="18" fillId="2" borderId="19" xfId="0" applyFont="1" applyFill="1" applyBorder="1"/>
    <xf numFmtId="0" fontId="0" fillId="7" borderId="32" xfId="0" applyFill="1" applyBorder="1"/>
    <xf numFmtId="0" fontId="5" fillId="3"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4" fillId="6" borderId="20" xfId="0" applyFont="1" applyFill="1" applyBorder="1" applyAlignment="1">
      <alignment vertical="center"/>
    </xf>
    <xf numFmtId="3" fontId="25"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8" fillId="2" borderId="33" xfId="0" applyNumberFormat="1" applyFont="1" applyFill="1" applyBorder="1" applyAlignment="1">
      <alignment horizontal="left" vertical="top" wrapText="1"/>
    </xf>
    <xf numFmtId="0" fontId="27"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8" fillId="3" borderId="35" xfId="0" applyFont="1" applyFill="1" applyBorder="1" applyAlignment="1">
      <alignment horizontal="center" vertical="center"/>
    </xf>
    <xf numFmtId="0" fontId="14" fillId="3" borderId="0" xfId="0" applyFont="1" applyFill="1" applyAlignment="1">
      <alignment wrapText="1" shrinkToFit="1"/>
    </xf>
    <xf numFmtId="0" fontId="8" fillId="3" borderId="4" xfId="0" applyFont="1" applyFill="1" applyBorder="1" applyAlignment="1">
      <alignment horizontal="center" vertical="center"/>
    </xf>
    <xf numFmtId="0" fontId="13" fillId="3" borderId="27" xfId="0" applyFont="1" applyFill="1" applyBorder="1" applyAlignment="1">
      <alignment horizontal="center" wrapText="1"/>
    </xf>
    <xf numFmtId="0" fontId="13" fillId="3" borderId="4" xfId="0" applyFont="1" applyFill="1" applyBorder="1" applyAlignment="1">
      <alignment horizontal="center" vertical="center"/>
    </xf>
    <xf numFmtId="0" fontId="8" fillId="3" borderId="36" xfId="0" applyFont="1" applyFill="1" applyBorder="1" applyAlignment="1">
      <alignment horizontal="center" vertical="center"/>
    </xf>
    <xf numFmtId="0" fontId="11" fillId="6" borderId="0" xfId="0" applyFont="1" applyFill="1" applyAlignment="1">
      <alignment horizontal="right" vertical="center"/>
    </xf>
    <xf numFmtId="0" fontId="11" fillId="6" borderId="37" xfId="0" applyFont="1" applyFill="1" applyBorder="1" applyAlignment="1">
      <alignment horizontal="right" vertical="center" wrapText="1"/>
    </xf>
    <xf numFmtId="0" fontId="0" fillId="10" borderId="0" xfId="0" applyFill="1"/>
    <xf numFmtId="0" fontId="62" fillId="10" borderId="0" xfId="0" applyFont="1" applyFill="1"/>
    <xf numFmtId="0" fontId="62" fillId="5" borderId="0" xfId="0" applyFont="1" applyFill="1"/>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14" fontId="13" fillId="3" borderId="0" xfId="0" applyNumberFormat="1" applyFont="1" applyFill="1" applyAlignment="1">
      <alignment horizontal="right"/>
    </xf>
    <xf numFmtId="49" fontId="5" fillId="2" borderId="0" xfId="0" applyNumberFormat="1" applyFont="1" applyFill="1" applyAlignment="1">
      <alignment horizontal="center"/>
    </xf>
    <xf numFmtId="49" fontId="0" fillId="7" borderId="0" xfId="0" applyNumberFormat="1" applyFill="1" applyAlignment="1">
      <alignment horizontal="center"/>
    </xf>
    <xf numFmtId="0" fontId="25" fillId="6" borderId="2" xfId="0" applyFont="1" applyFill="1" applyBorder="1" applyAlignment="1">
      <alignment vertical="center"/>
    </xf>
    <xf numFmtId="0" fontId="25" fillId="6" borderId="38" xfId="0" applyFont="1" applyFill="1" applyBorder="1" applyAlignment="1">
      <alignment vertical="center"/>
    </xf>
    <xf numFmtId="0" fontId="25" fillId="6" borderId="3" xfId="0" applyFont="1" applyFill="1" applyBorder="1" applyAlignment="1">
      <alignment vertical="center"/>
    </xf>
    <xf numFmtId="0" fontId="26" fillId="7" borderId="39" xfId="0" applyFont="1" applyFill="1" applyBorder="1" applyAlignment="1" applyProtection="1">
      <alignment horizontal="center"/>
      <protection locked="0"/>
    </xf>
    <xf numFmtId="0" fontId="13" fillId="3" borderId="40" xfId="0" applyFont="1" applyFill="1" applyBorder="1" applyAlignment="1">
      <alignment wrapText="1"/>
    </xf>
    <xf numFmtId="0" fontId="24" fillId="6" borderId="40" xfId="0" applyFont="1" applyFill="1" applyBorder="1"/>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5" fillId="2" borderId="39" xfId="0" applyFont="1" applyFill="1" applyBorder="1" applyAlignment="1" applyProtection="1">
      <alignment horizontal="center" wrapText="1"/>
      <protection locked="0"/>
    </xf>
    <xf numFmtId="0" fontId="25" fillId="2" borderId="41" xfId="0" applyFont="1" applyFill="1" applyBorder="1" applyAlignment="1" applyProtection="1">
      <alignment horizontal="center" wrapText="1"/>
      <protection locked="0"/>
    </xf>
    <xf numFmtId="3" fontId="5" fillId="3" borderId="0" xfId="0" applyNumberFormat="1" applyFont="1" applyFill="1" applyAlignment="1">
      <alignment horizontal="center"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6" borderId="2" xfId="0" applyFill="1" applyBorder="1" applyAlignment="1">
      <alignment vertical="center"/>
    </xf>
    <xf numFmtId="4" fontId="5" fillId="2" borderId="27" xfId="0" applyNumberFormat="1" applyFont="1" applyFill="1" applyBorder="1" applyProtection="1">
      <protection locked="0"/>
    </xf>
    <xf numFmtId="4" fontId="5" fillId="2" borderId="6" xfId="0" applyNumberFormat="1" applyFont="1" applyFill="1" applyBorder="1" applyProtection="1">
      <protection locked="0"/>
    </xf>
    <xf numFmtId="4" fontId="5" fillId="2" borderId="2" xfId="0" applyNumberFormat="1" applyFont="1" applyFill="1" applyBorder="1" applyProtection="1">
      <protection locked="0"/>
    </xf>
    <xf numFmtId="4" fontId="5" fillId="2" borderId="43" xfId="0" applyNumberFormat="1" applyFont="1" applyFill="1" applyBorder="1" applyProtection="1">
      <protection locked="0"/>
    </xf>
    <xf numFmtId="4" fontId="20" fillId="2" borderId="2" xfId="0" applyNumberFormat="1" applyFont="1" applyFill="1" applyBorder="1"/>
    <xf numFmtId="4" fontId="20" fillId="2" borderId="43" xfId="0" applyNumberFormat="1" applyFont="1" applyFill="1" applyBorder="1"/>
    <xf numFmtId="4" fontId="5" fillId="2" borderId="3" xfId="0" applyNumberFormat="1" applyFont="1" applyFill="1" applyBorder="1"/>
    <xf numFmtId="4" fontId="5" fillId="2" borderId="44" xfId="0" applyNumberFormat="1" applyFont="1" applyFill="1" applyBorder="1"/>
    <xf numFmtId="4" fontId="5" fillId="9" borderId="45" xfId="0" applyNumberFormat="1" applyFont="1" applyFill="1" applyBorder="1"/>
    <xf numFmtId="4" fontId="5" fillId="9" borderId="32" xfId="0" applyNumberFormat="1" applyFont="1" applyFill="1" applyBorder="1"/>
    <xf numFmtId="4" fontId="5" fillId="2" borderId="36" xfId="0" applyNumberFormat="1" applyFont="1" applyFill="1" applyBorder="1" applyProtection="1">
      <protection locked="0"/>
    </xf>
    <xf numFmtId="4" fontId="5" fillId="2" borderId="1" xfId="0" applyNumberFormat="1" applyFont="1" applyFill="1" applyBorder="1" applyProtection="1">
      <protection locked="0"/>
    </xf>
    <xf numFmtId="4" fontId="20" fillId="2" borderId="29" xfId="0" applyNumberFormat="1" applyFont="1" applyFill="1" applyBorder="1"/>
    <xf numFmtId="4" fontId="5" fillId="2" borderId="9" xfId="0" applyNumberFormat="1" applyFont="1" applyFill="1" applyBorder="1"/>
    <xf numFmtId="4" fontId="5" fillId="9" borderId="46" xfId="0" applyNumberFormat="1" applyFont="1" applyFill="1" applyBorder="1"/>
    <xf numFmtId="0" fontId="8" fillId="3" borderId="15" xfId="0" applyFont="1" applyFill="1" applyBorder="1" applyAlignment="1">
      <alignment horizontal="center" vertical="center"/>
    </xf>
    <xf numFmtId="0" fontId="27" fillId="0" borderId="21" xfId="0" applyFont="1" applyBorder="1" applyAlignment="1" applyProtection="1">
      <alignment horizontal="center" vertical="center"/>
      <protection locked="0"/>
    </xf>
    <xf numFmtId="0" fontId="11" fillId="6" borderId="0" xfId="0" applyFont="1" applyFill="1" applyAlignment="1">
      <alignment horizontal="left" vertical="center"/>
    </xf>
    <xf numFmtId="0" fontId="70" fillId="7" borderId="0" xfId="0" applyFont="1" applyFill="1"/>
    <xf numFmtId="0" fontId="70" fillId="0" borderId="0" xfId="0" applyFont="1"/>
    <xf numFmtId="10" fontId="25" fillId="2" borderId="2" xfId="0" applyNumberFormat="1" applyFont="1" applyFill="1" applyBorder="1" applyAlignment="1">
      <alignment horizontal="center" vertical="center"/>
    </xf>
    <xf numFmtId="0" fontId="6" fillId="3" borderId="0" xfId="0" applyFont="1" applyFill="1" applyAlignment="1">
      <alignment horizontal="center" vertical="center"/>
    </xf>
    <xf numFmtId="14" fontId="20" fillId="2" borderId="2" xfId="0" applyNumberFormat="1" applyFont="1" applyFill="1" applyBorder="1" applyAlignment="1" applyProtection="1">
      <alignment horizontal="center" vertical="center"/>
      <protection locked="0"/>
    </xf>
    <xf numFmtId="0" fontId="66" fillId="5" borderId="0" xfId="0" applyFont="1" applyFill="1"/>
    <xf numFmtId="0" fontId="66" fillId="0" borderId="0" xfId="0" applyFont="1"/>
    <xf numFmtId="0" fontId="72" fillId="7" borderId="41" xfId="0" applyFont="1" applyFill="1" applyBorder="1" applyAlignment="1">
      <alignment horizontal="center" vertical="center"/>
    </xf>
    <xf numFmtId="0" fontId="0" fillId="0" borderId="41" xfId="0" applyBorder="1" applyAlignment="1">
      <alignment vertical="center"/>
    </xf>
    <xf numFmtId="0" fontId="72" fillId="7" borderId="2" xfId="0" applyFont="1" applyFill="1" applyBorder="1" applyAlignment="1">
      <alignment horizontal="center" vertical="center"/>
    </xf>
    <xf numFmtId="0" fontId="0" fillId="7" borderId="41" xfId="0"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0" fillId="0" borderId="0" xfId="0" applyAlignment="1">
      <alignment horizontal="center" vertical="center"/>
    </xf>
    <xf numFmtId="0" fontId="69" fillId="7" borderId="0" xfId="0" applyFont="1" applyFill="1" applyAlignment="1">
      <alignment horizontal="center" vertical="center"/>
    </xf>
    <xf numFmtId="0" fontId="78" fillId="5" borderId="0" xfId="0" applyFont="1" applyFill="1"/>
    <xf numFmtId="0" fontId="16" fillId="7" borderId="0" xfId="0" applyFont="1" applyFill="1" applyAlignment="1">
      <alignment horizontal="center" vertical="center"/>
    </xf>
    <xf numFmtId="0" fontId="79"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Alignment="1" applyProtection="1">
      <alignment vertical="center"/>
      <protection locked="0"/>
    </xf>
    <xf numFmtId="0" fontId="78" fillId="7" borderId="0" xfId="0" applyFont="1" applyFill="1" applyAlignment="1">
      <alignment vertical="center"/>
    </xf>
    <xf numFmtId="0" fontId="78" fillId="7" borderId="0" xfId="0" applyFont="1" applyFill="1" applyAlignment="1">
      <alignment horizontal="right" vertical="center"/>
    </xf>
    <xf numFmtId="0" fontId="0" fillId="7" borderId="50" xfId="0" applyFill="1" applyBorder="1" applyAlignment="1" applyProtection="1">
      <alignment vertical="center"/>
      <protection locked="0"/>
    </xf>
    <xf numFmtId="0" fontId="69" fillId="11" borderId="0" xfId="0" applyFont="1" applyFill="1" applyAlignment="1">
      <alignment vertical="center"/>
    </xf>
    <xf numFmtId="0" fontId="69" fillId="11" borderId="0" xfId="0" applyFont="1" applyFill="1" applyAlignment="1">
      <alignment horizontal="right" vertical="center"/>
    </xf>
    <xf numFmtId="0" fontId="69" fillId="6" borderId="0" xfId="0" applyFont="1" applyFill="1" applyAlignment="1">
      <alignment vertical="center"/>
    </xf>
    <xf numFmtId="0" fontId="69" fillId="6" borderId="0" xfId="0" applyFont="1" applyFill="1" applyAlignment="1">
      <alignment horizontal="right" vertical="center"/>
    </xf>
    <xf numFmtId="0" fontId="69" fillId="7" borderId="0" xfId="0" applyFont="1" applyFill="1" applyAlignment="1">
      <alignment vertical="center"/>
    </xf>
    <xf numFmtId="0" fontId="0" fillId="6" borderId="51" xfId="0" applyFill="1" applyBorder="1" applyAlignment="1" applyProtection="1">
      <alignment vertical="center"/>
      <protection locked="0"/>
    </xf>
    <xf numFmtId="0" fontId="0" fillId="6"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6" borderId="52" xfId="0" applyNumberFormat="1" applyFill="1" applyBorder="1" applyAlignment="1" applyProtection="1">
      <alignment horizontal="left" vertical="center"/>
      <protection locked="0"/>
    </xf>
    <xf numFmtId="49" fontId="0" fillId="6"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69" fillId="12" borderId="0" xfId="0" applyFont="1" applyFill="1" applyAlignment="1">
      <alignment vertical="center"/>
    </xf>
    <xf numFmtId="0" fontId="69" fillId="12" borderId="0" xfId="0" applyFont="1" applyFill="1" applyAlignment="1">
      <alignment horizontal="right" vertical="center"/>
    </xf>
    <xf numFmtId="0" fontId="27" fillId="0" borderId="1" xfId="0" applyFont="1" applyBorder="1" applyAlignment="1" applyProtection="1">
      <alignment horizontal="center" vertical="center"/>
      <protection locked="0"/>
    </xf>
    <xf numFmtId="0" fontId="27" fillId="0" borderId="9" xfId="0" applyFont="1" applyBorder="1" applyAlignment="1">
      <alignment horizontal="center" vertical="center"/>
    </xf>
    <xf numFmtId="0" fontId="42" fillId="6" borderId="36"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6" xfId="0" applyFont="1" applyFill="1" applyBorder="1" applyAlignment="1">
      <alignment horizontal="center" vertical="center"/>
    </xf>
    <xf numFmtId="1" fontId="5" fillId="2" borderId="2"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8" fillId="2" borderId="11" xfId="0"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0" fontId="42" fillId="7" borderId="28" xfId="0" applyFont="1" applyFill="1" applyBorder="1" applyAlignment="1">
      <alignment horizontal="center" vertical="center"/>
    </xf>
    <xf numFmtId="0" fontId="42" fillId="7" borderId="27" xfId="0" applyFont="1" applyFill="1" applyBorder="1" applyAlignment="1">
      <alignment horizontal="center" vertical="center"/>
    </xf>
    <xf numFmtId="0" fontId="42" fillId="7" borderId="36" xfId="0" applyFont="1" applyFill="1" applyBorder="1" applyAlignment="1">
      <alignment horizontal="center" vertical="center"/>
    </xf>
    <xf numFmtId="0" fontId="42" fillId="7" borderId="56" xfId="0" applyFont="1" applyFill="1" applyBorder="1" applyAlignment="1">
      <alignment horizontal="center" vertical="center"/>
    </xf>
    <xf numFmtId="0" fontId="42" fillId="7" borderId="38" xfId="0" applyFont="1" applyFill="1" applyBorder="1" applyAlignment="1">
      <alignment horizontal="center" vertical="center"/>
    </xf>
    <xf numFmtId="0" fontId="42"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8" fillId="2" borderId="4" xfId="0" applyFont="1" applyFill="1" applyBorder="1" applyAlignment="1">
      <alignment horizontal="left" vertical="top"/>
    </xf>
    <xf numFmtId="0" fontId="24" fillId="7" borderId="33" xfId="0" applyFont="1" applyFill="1" applyBorder="1" applyAlignment="1">
      <alignment horizontal="left" vertical="top" wrapText="1"/>
    </xf>
    <xf numFmtId="0" fontId="24" fillId="7" borderId="22" xfId="0" applyFont="1" applyFill="1" applyBorder="1" applyAlignment="1">
      <alignment horizontal="left" vertical="top" wrapText="1"/>
    </xf>
    <xf numFmtId="0" fontId="8" fillId="2" borderId="5" xfId="0" applyFont="1" applyFill="1" applyBorder="1" applyAlignment="1">
      <alignment horizontal="left" vertical="top"/>
    </xf>
    <xf numFmtId="0" fontId="13" fillId="2" borderId="2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4" xfId="0" applyFont="1" applyFill="1" applyBorder="1" applyAlignment="1">
      <alignment horizontal="left" vertical="top"/>
    </xf>
    <xf numFmtId="0" fontId="13" fillId="2" borderId="16" xfId="0" applyFont="1" applyFill="1" applyBorder="1" applyAlignment="1">
      <alignment horizontal="left" vertical="top"/>
    </xf>
    <xf numFmtId="0" fontId="13" fillId="2" borderId="39" xfId="0" applyFont="1" applyFill="1" applyBorder="1" applyAlignment="1">
      <alignment horizontal="left" vertical="top" wrapText="1"/>
    </xf>
    <xf numFmtId="0" fontId="13" fillId="2" borderId="39" xfId="0" applyFont="1" applyFill="1" applyBorder="1" applyAlignment="1">
      <alignment vertical="top" wrapText="1"/>
    </xf>
    <xf numFmtId="0" fontId="25" fillId="7" borderId="58" xfId="0" applyFont="1" applyFill="1" applyBorder="1" applyAlignment="1" applyProtection="1">
      <alignment horizontal="center" wrapText="1"/>
      <protection locked="0"/>
    </xf>
    <xf numFmtId="0" fontId="13" fillId="2" borderId="39" xfId="0" applyFont="1" applyFill="1" applyBorder="1" applyAlignment="1">
      <alignment horizontal="left" vertical="top"/>
    </xf>
    <xf numFmtId="0" fontId="25" fillId="2" borderId="18" xfId="0" applyFont="1" applyFill="1" applyBorder="1" applyAlignment="1" applyProtection="1">
      <alignment horizontal="center"/>
      <protection locked="0"/>
    </xf>
    <xf numFmtId="3" fontId="25" fillId="2" borderId="57" xfId="0" applyNumberFormat="1" applyFont="1" applyFill="1" applyBorder="1" applyAlignment="1" applyProtection="1">
      <alignment horizontal="center" wrapText="1"/>
      <protection locked="0"/>
    </xf>
    <xf numFmtId="0" fontId="8" fillId="3" borderId="5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0" fillId="0" borderId="41" xfId="0" applyBorder="1" applyAlignment="1" applyProtection="1">
      <alignment horizontal="center" vertical="center"/>
      <protection locked="0"/>
    </xf>
    <xf numFmtId="0" fontId="72" fillId="7" borderId="0" xfId="0" applyFont="1" applyFill="1" applyAlignment="1">
      <alignment horizontal="center" vertical="center"/>
    </xf>
    <xf numFmtId="0" fontId="83" fillId="2" borderId="0" xfId="0" applyFont="1" applyFill="1" applyAlignment="1">
      <alignment vertical="center"/>
    </xf>
    <xf numFmtId="0" fontId="0" fillId="7" borderId="0" xfId="0" applyFill="1" applyAlignment="1">
      <alignment horizontal="right"/>
    </xf>
    <xf numFmtId="10" fontId="25" fillId="2" borderId="2" xfId="0" applyNumberFormat="1"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4" fontId="25" fillId="2" borderId="2" xfId="0" applyNumberFormat="1" applyFont="1" applyFill="1" applyBorder="1" applyAlignment="1">
      <alignment horizontal="center" vertical="center"/>
    </xf>
    <xf numFmtId="4" fontId="25" fillId="2" borderId="38" xfId="0" applyNumberFormat="1" applyFont="1" applyFill="1" applyBorder="1" applyAlignment="1">
      <alignment horizontal="center" vertical="center"/>
    </xf>
    <xf numFmtId="4" fontId="25" fillId="2" borderId="17" xfId="0" applyNumberFormat="1" applyFont="1" applyFill="1" applyBorder="1" applyAlignment="1">
      <alignment horizontal="center" vertical="center"/>
    </xf>
    <xf numFmtId="4" fontId="25" fillId="2" borderId="17" xfId="0" applyNumberFormat="1" applyFont="1" applyFill="1" applyBorder="1" applyAlignment="1" applyProtection="1">
      <alignment horizontal="center" vertical="center"/>
      <protection locked="0"/>
    </xf>
    <xf numFmtId="0" fontId="0" fillId="12" borderId="52" xfId="0" applyFill="1" applyBorder="1" applyAlignment="1" applyProtection="1">
      <alignment horizontal="left" vertical="center"/>
      <protection locked="0"/>
    </xf>
    <xf numFmtId="0" fontId="89" fillId="12" borderId="53" xfId="6" applyFill="1" applyBorder="1" applyAlignment="1" applyProtection="1">
      <alignment vertical="center"/>
      <protection locked="0"/>
    </xf>
    <xf numFmtId="0" fontId="5" fillId="0" borderId="0" xfId="7"/>
    <xf numFmtId="0" fontId="5" fillId="0" borderId="0" xfId="7" applyAlignment="1">
      <alignment horizontal="center" vertical="center"/>
    </xf>
    <xf numFmtId="0" fontId="3" fillId="0" borderId="0" xfId="0" applyFont="1"/>
    <xf numFmtId="0" fontId="5" fillId="0" borderId="16" xfId="7" applyBorder="1" applyAlignment="1">
      <alignment horizontal="center" vertical="center"/>
    </xf>
    <xf numFmtId="0" fontId="5" fillId="0" borderId="20" xfId="7" applyBorder="1" applyAlignment="1">
      <alignment horizontal="center" vertical="center"/>
    </xf>
    <xf numFmtId="0" fontId="5" fillId="0" borderId="59" xfId="7" applyBorder="1" applyAlignment="1">
      <alignment horizontal="center" vertical="center"/>
    </xf>
    <xf numFmtId="0" fontId="5" fillId="0" borderId="17" xfId="7" applyBorder="1" applyAlignment="1">
      <alignment horizontal="center" vertical="center"/>
    </xf>
    <xf numFmtId="0" fontId="5" fillId="0" borderId="39" xfId="7" applyBorder="1" applyAlignment="1">
      <alignment horizontal="center" vertical="center"/>
    </xf>
    <xf numFmtId="0" fontId="5" fillId="0" borderId="21" xfId="7" applyBorder="1"/>
    <xf numFmtId="0" fontId="0" fillId="0" borderId="41" xfId="0" applyBorder="1"/>
    <xf numFmtId="0" fontId="3" fillId="0" borderId="16" xfId="0" applyFont="1" applyBorder="1"/>
    <xf numFmtId="0" fontId="2" fillId="0" borderId="39" xfId="0" applyFont="1" applyBorder="1" applyAlignment="1">
      <alignment horizontal="center" vertical="center" wrapText="1"/>
    </xf>
    <xf numFmtId="0" fontId="2" fillId="0" borderId="59" xfId="0" applyFont="1" applyBorder="1" applyAlignment="1">
      <alignment horizontal="center" vertical="center" wrapText="1"/>
    </xf>
    <xf numFmtId="0" fontId="0" fillId="0" borderId="20" xfId="0" applyBorder="1"/>
    <xf numFmtId="0" fontId="5" fillId="0" borderId="30" xfId="7" applyBorder="1"/>
    <xf numFmtId="0" fontId="5" fillId="0" borderId="47" xfId="7" applyBorder="1" applyAlignment="1">
      <alignment horizontal="center" vertical="center"/>
    </xf>
    <xf numFmtId="0" fontId="5" fillId="0" borderId="30" xfId="7" applyBorder="1" applyAlignment="1">
      <alignment horizontal="center" vertical="center"/>
    </xf>
    <xf numFmtId="0" fontId="90" fillId="2" borderId="83" xfId="7" applyFont="1" applyFill="1" applyBorder="1" applyAlignment="1">
      <alignment vertical="center" wrapText="1"/>
    </xf>
    <xf numFmtId="0" fontId="90" fillId="2" borderId="47" xfId="7" applyFont="1" applyFill="1" applyBorder="1" applyAlignment="1">
      <alignment horizontal="center" vertical="center" wrapText="1"/>
    </xf>
    <xf numFmtId="0" fontId="5" fillId="0" borderId="83" xfId="7" applyBorder="1"/>
    <xf numFmtId="0" fontId="5" fillId="0" borderId="84" xfId="7" applyBorder="1"/>
    <xf numFmtId="1" fontId="5" fillId="0" borderId="85" xfId="8" applyNumberFormat="1" applyBorder="1" applyAlignment="1">
      <alignment horizontal="left"/>
    </xf>
    <xf numFmtId="49" fontId="5" fillId="0" borderId="0" xfId="8" applyNumberFormat="1" applyAlignment="1">
      <alignment horizontal="center"/>
    </xf>
    <xf numFmtId="0" fontId="0" fillId="0" borderId="19" xfId="0" applyBorder="1"/>
    <xf numFmtId="49" fontId="0" fillId="0" borderId="2" xfId="0" applyNumberFormat="1" applyBorder="1"/>
    <xf numFmtId="0" fontId="0" fillId="0" borderId="85" xfId="0" applyBorder="1"/>
    <xf numFmtId="0" fontId="5" fillId="0" borderId="10" xfId="7" applyBorder="1"/>
    <xf numFmtId="0" fontId="5" fillId="0" borderId="26" xfId="7" applyBorder="1" applyAlignment="1">
      <alignment horizontal="center" vertical="center"/>
    </xf>
    <xf numFmtId="0" fontId="90" fillId="2" borderId="2" xfId="7" applyFont="1" applyFill="1" applyBorder="1" applyAlignment="1">
      <alignment vertical="center" wrapText="1"/>
    </xf>
    <xf numFmtId="0" fontId="90" fillId="2" borderId="26" xfId="7" applyFont="1" applyFill="1" applyBorder="1" applyAlignment="1">
      <alignment horizontal="center" vertical="center" wrapText="1"/>
    </xf>
    <xf numFmtId="0" fontId="5" fillId="0" borderId="2" xfId="7" applyBorder="1"/>
    <xf numFmtId="0" fontId="5" fillId="0" borderId="1" xfId="7" applyBorder="1"/>
    <xf numFmtId="0" fontId="5" fillId="0" borderId="86" xfId="8" applyBorder="1" applyAlignment="1">
      <alignment horizontal="left"/>
    </xf>
    <xf numFmtId="1" fontId="5" fillId="0" borderId="86" xfId="8" applyNumberFormat="1" applyBorder="1" applyAlignment="1">
      <alignment horizontal="left"/>
    </xf>
    <xf numFmtId="0" fontId="5" fillId="0" borderId="11" xfId="7" applyBorder="1"/>
    <xf numFmtId="0" fontId="5" fillId="0" borderId="7" xfId="7" applyBorder="1" applyAlignment="1">
      <alignment horizontal="center" vertical="center"/>
    </xf>
    <xf numFmtId="1" fontId="5" fillId="0" borderId="86" xfId="8" applyNumberFormat="1" applyBorder="1" applyAlignment="1">
      <alignment horizontal="left" vertical="top" wrapText="1"/>
    </xf>
    <xf numFmtId="49" fontId="5" fillId="0" borderId="0" xfId="8" applyNumberFormat="1" applyAlignment="1">
      <alignment horizontal="center" vertical="top"/>
    </xf>
    <xf numFmtId="1" fontId="92" fillId="0" borderId="86" xfId="0" applyNumberFormat="1" applyFont="1" applyBorder="1" applyAlignment="1">
      <alignment horizontal="left"/>
    </xf>
    <xf numFmtId="49" fontId="92" fillId="0" borderId="0" xfId="0" applyNumberFormat="1" applyFont="1" applyAlignment="1">
      <alignment horizontal="center"/>
    </xf>
    <xf numFmtId="0" fontId="90" fillId="2" borderId="3" xfId="7" applyFont="1" applyFill="1" applyBorder="1" applyAlignment="1">
      <alignment vertical="center" wrapText="1"/>
    </xf>
    <xf numFmtId="0" fontId="90" fillId="2" borderId="7" xfId="7" applyFont="1" applyFill="1" applyBorder="1" applyAlignment="1">
      <alignment horizontal="center" vertical="center" wrapText="1"/>
    </xf>
    <xf numFmtId="0" fontId="5" fillId="0" borderId="3" xfId="7" applyBorder="1"/>
    <xf numFmtId="0" fontId="5" fillId="0" borderId="9" xfId="7" applyBorder="1"/>
    <xf numFmtId="1" fontId="5" fillId="0" borderId="87" xfId="8" applyNumberFormat="1" applyBorder="1" applyAlignment="1">
      <alignment horizontal="left"/>
    </xf>
    <xf numFmtId="49" fontId="0" fillId="0" borderId="3" xfId="0" applyNumberFormat="1" applyBorder="1"/>
    <xf numFmtId="0" fontId="0" fillId="0" borderId="87" xfId="0" applyBorder="1"/>
    <xf numFmtId="0" fontId="2" fillId="0" borderId="0" xfId="0" applyFont="1"/>
    <xf numFmtId="0" fontId="0" fillId="15" borderId="0" xfId="0" applyFill="1" applyAlignment="1">
      <alignment horizontal="right" vertical="center"/>
    </xf>
    <xf numFmtId="0" fontId="5" fillId="16" borderId="0" xfId="7" applyFill="1"/>
    <xf numFmtId="0" fontId="3" fillId="19" borderId="0" xfId="10" applyFill="1"/>
    <xf numFmtId="0" fontId="3" fillId="0" borderId="0" xfId="10"/>
    <xf numFmtId="0" fontId="4" fillId="2" borderId="0" xfId="0" applyFont="1" applyFill="1" applyAlignment="1">
      <alignment horizontal="right" vertical="center"/>
    </xf>
    <xf numFmtId="0" fontId="0" fillId="0" borderId="3" xfId="0" applyBorder="1" applyAlignment="1">
      <alignment horizontal="center" vertical="center"/>
    </xf>
    <xf numFmtId="0" fontId="11" fillId="6" borderId="84" xfId="0" applyFont="1" applyFill="1" applyBorder="1" applyAlignment="1">
      <alignment horizontal="center" vertical="center" wrapText="1"/>
    </xf>
    <xf numFmtId="0" fontId="5" fillId="20" borderId="0" xfId="7" applyFill="1"/>
    <xf numFmtId="0" fontId="94" fillId="20" borderId="0" xfId="7" applyFont="1" applyFill="1" applyAlignment="1">
      <alignment vertical="top"/>
    </xf>
    <xf numFmtId="0" fontId="95" fillId="20" borderId="0" xfId="7" applyFont="1" applyFill="1" applyAlignment="1">
      <alignment wrapText="1"/>
    </xf>
    <xf numFmtId="0" fontId="94" fillId="20" borderId="0" xfId="7" applyFont="1" applyFill="1" applyAlignment="1">
      <alignment wrapText="1"/>
    </xf>
    <xf numFmtId="0" fontId="94" fillId="20" borderId="0" xfId="7" applyFont="1" applyFill="1"/>
    <xf numFmtId="0" fontId="96" fillId="20" borderId="0" xfId="5" applyFont="1" applyFill="1" applyAlignment="1" applyProtection="1">
      <alignment wrapText="1"/>
    </xf>
    <xf numFmtId="0" fontId="94" fillId="20" borderId="0" xfId="8" applyFont="1" applyFill="1" applyAlignment="1">
      <alignment wrapText="1"/>
    </xf>
    <xf numFmtId="0" fontId="30" fillId="20" borderId="0" xfId="7" applyFont="1" applyFill="1" applyAlignment="1">
      <alignment horizontal="right" wrapText="1"/>
    </xf>
    <xf numFmtId="0" fontId="94" fillId="20" borderId="0" xfId="7" applyFont="1" applyFill="1" applyAlignment="1">
      <alignment horizontal="right" wrapText="1"/>
    </xf>
    <xf numFmtId="0" fontId="42" fillId="7" borderId="57" xfId="0"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6" borderId="3" xfId="0" applyNumberFormat="1" applyFill="1" applyBorder="1" applyAlignment="1">
      <alignment horizontal="center" vertical="center"/>
    </xf>
    <xf numFmtId="9" fontId="0" fillId="0" borderId="27" xfId="0" applyNumberFormat="1" applyBorder="1" applyAlignment="1" applyProtection="1">
      <alignment horizontal="center" vertical="center"/>
      <protection locked="0"/>
    </xf>
    <xf numFmtId="9" fontId="0" fillId="0" borderId="58" xfId="0" applyNumberFormat="1" applyBorder="1" applyAlignment="1" applyProtection="1">
      <alignment horizontal="center" vertical="center"/>
      <protection locked="0"/>
    </xf>
    <xf numFmtId="0" fontId="91" fillId="19" borderId="0" xfId="11" applyFont="1" applyFill="1"/>
    <xf numFmtId="0" fontId="91" fillId="19" borderId="0" xfId="11" applyFont="1" applyFill="1" applyAlignment="1">
      <alignment wrapText="1"/>
    </xf>
    <xf numFmtId="0" fontId="91" fillId="16" borderId="28" xfId="11" applyFont="1" applyFill="1" applyBorder="1" applyAlignment="1">
      <alignment horizontal="center" vertical="center"/>
    </xf>
    <xf numFmtId="0" fontId="91" fillId="16" borderId="27" xfId="11" applyFont="1" applyFill="1" applyBorder="1" applyAlignment="1">
      <alignment horizontal="center" vertical="center"/>
    </xf>
    <xf numFmtId="0" fontId="91" fillId="16" borderId="36" xfId="11" applyFont="1" applyFill="1" applyBorder="1" applyAlignment="1">
      <alignment horizontal="center" vertical="center" wrapText="1"/>
    </xf>
    <xf numFmtId="0" fontId="91" fillId="19" borderId="0" xfId="11" applyFont="1" applyFill="1" applyAlignment="1">
      <alignment horizontal="center" vertical="center"/>
    </xf>
    <xf numFmtId="0" fontId="103" fillId="16" borderId="2" xfId="11" applyFont="1" applyFill="1" applyBorder="1" applyAlignment="1" applyProtection="1">
      <alignment horizontal="left" vertical="center" indent="1"/>
      <protection locked="0"/>
    </xf>
    <xf numFmtId="49" fontId="103" fillId="16" borderId="1" xfId="11" applyNumberFormat="1" applyFont="1" applyFill="1" applyBorder="1" applyAlignment="1" applyProtection="1">
      <alignment horizontal="center" vertical="center"/>
      <protection locked="0"/>
    </xf>
    <xf numFmtId="49" fontId="103" fillId="16" borderId="2" xfId="11" applyNumberFormat="1" applyFont="1" applyFill="1" applyBorder="1" applyAlignment="1" applyProtection="1">
      <alignment horizontal="left" vertical="center" indent="1"/>
      <protection locked="0"/>
    </xf>
    <xf numFmtId="49" fontId="103" fillId="16" borderId="2" xfId="11" applyNumberFormat="1" applyFont="1" applyFill="1" applyBorder="1" applyAlignment="1" applyProtection="1">
      <alignment horizontal="center" vertical="center"/>
      <protection locked="0"/>
    </xf>
    <xf numFmtId="49" fontId="103" fillId="16" borderId="3" xfId="11" applyNumberFormat="1" applyFont="1" applyFill="1" applyBorder="1" applyAlignment="1" applyProtection="1">
      <alignment horizontal="left" vertical="center" indent="1"/>
      <protection locked="0"/>
    </xf>
    <xf numFmtId="49" fontId="103" fillId="16" borderId="3" xfId="11" applyNumberFormat="1" applyFont="1" applyFill="1" applyBorder="1" applyAlignment="1" applyProtection="1">
      <alignment horizontal="center" vertical="center"/>
      <protection locked="0"/>
    </xf>
    <xf numFmtId="49" fontId="103" fillId="16" borderId="9" xfId="11" applyNumberFormat="1" applyFont="1" applyFill="1" applyBorder="1" applyAlignment="1" applyProtection="1">
      <alignment horizontal="center" vertical="center"/>
      <protection locked="0"/>
    </xf>
    <xf numFmtId="0" fontId="91" fillId="16" borderId="0" xfId="11" applyFont="1" applyFill="1" applyAlignment="1">
      <alignment horizontal="right" vertical="center"/>
    </xf>
    <xf numFmtId="14" fontId="103" fillId="16" borderId="0" xfId="11" applyNumberFormat="1" applyFont="1" applyFill="1" applyAlignment="1">
      <alignment horizontal="center" vertical="center"/>
    </xf>
    <xf numFmtId="0" fontId="2" fillId="19" borderId="0" xfId="11" applyFont="1" applyFill="1"/>
    <xf numFmtId="0" fontId="1" fillId="19" borderId="0" xfId="11" applyFill="1" applyAlignment="1">
      <alignment wrapText="1"/>
    </xf>
    <xf numFmtId="0" fontId="1" fillId="19" borderId="0" xfId="11" applyFill="1"/>
    <xf numFmtId="0" fontId="101" fillId="19" borderId="0" xfId="11" applyFont="1" applyFill="1" applyAlignment="1">
      <alignment vertical="center"/>
    </xf>
    <xf numFmtId="0" fontId="91" fillId="16" borderId="0" xfId="11" applyFont="1" applyFill="1" applyAlignment="1">
      <alignment vertical="center"/>
    </xf>
    <xf numFmtId="49" fontId="104" fillId="16" borderId="42" xfId="11" applyNumberFormat="1" applyFont="1" applyFill="1" applyBorder="1" applyAlignment="1">
      <alignment horizontal="center" vertical="center"/>
    </xf>
    <xf numFmtId="49" fontId="104" fillId="16" borderId="0" xfId="11" applyNumberFormat="1" applyFont="1" applyFill="1" applyAlignment="1">
      <alignment vertical="center"/>
    </xf>
    <xf numFmtId="0" fontId="103" fillId="16" borderId="81" xfId="11" applyFont="1" applyFill="1" applyBorder="1" applyAlignment="1" applyProtection="1">
      <alignment horizontal="left" vertical="center" indent="1"/>
      <protection locked="0"/>
    </xf>
    <xf numFmtId="49" fontId="103" fillId="16" borderId="0" xfId="11" applyNumberFormat="1" applyFont="1" applyFill="1" applyAlignment="1">
      <alignment vertical="center"/>
    </xf>
    <xf numFmtId="14" fontId="103" fillId="16" borderId="81" xfId="11" applyNumberFormat="1" applyFont="1" applyFill="1" applyBorder="1" applyAlignment="1" applyProtection="1">
      <alignment horizontal="center" vertical="center"/>
      <protection locked="0"/>
    </xf>
    <xf numFmtId="0" fontId="1" fillId="16" borderId="0" xfId="11" applyFill="1"/>
    <xf numFmtId="0" fontId="3" fillId="7" borderId="0" xfId="0" applyFont="1" applyFill="1" applyAlignment="1">
      <alignment vertical="center"/>
    </xf>
    <xf numFmtId="0" fontId="3" fillId="7" borderId="0" xfId="0" applyFont="1" applyFill="1" applyAlignment="1">
      <alignment horizontal="right" vertical="center"/>
    </xf>
    <xf numFmtId="0" fontId="3" fillId="15" borderId="0" xfId="0" applyFont="1" applyFill="1" applyAlignment="1">
      <alignment horizontal="right" vertical="center"/>
    </xf>
    <xf numFmtId="0" fontId="0" fillId="16" borderId="0" xfId="0" applyFill="1" applyAlignment="1">
      <alignment vertical="center"/>
    </xf>
    <xf numFmtId="0" fontId="91" fillId="16" borderId="0" xfId="11" applyFont="1" applyFill="1" applyAlignment="1">
      <alignment horizontal="left" vertical="center"/>
    </xf>
    <xf numFmtId="0" fontId="91" fillId="16" borderId="27" xfId="11" applyFont="1" applyFill="1" applyBorder="1" applyAlignment="1">
      <alignment horizontal="center" vertical="center" wrapText="1"/>
    </xf>
    <xf numFmtId="0" fontId="0" fillId="16" borderId="0" xfId="0" applyFill="1"/>
    <xf numFmtId="0" fontId="0" fillId="16" borderId="109" xfId="0" applyFill="1" applyBorder="1" applyAlignment="1">
      <alignment vertical="center"/>
    </xf>
    <xf numFmtId="0" fontId="42" fillId="16" borderId="0" xfId="0" applyFont="1" applyFill="1" applyAlignment="1">
      <alignment vertical="center"/>
    </xf>
    <xf numFmtId="0" fontId="42" fillId="16" borderId="110" xfId="0" applyFont="1" applyFill="1" applyBorder="1" applyAlignment="1">
      <alignment vertical="center"/>
    </xf>
    <xf numFmtId="0" fontId="0" fillId="16" borderId="110" xfId="0" applyFill="1" applyBorder="1" applyAlignment="1">
      <alignment vertical="center"/>
    </xf>
    <xf numFmtId="0" fontId="0" fillId="16" borderId="111" xfId="0" applyFill="1" applyBorder="1" applyAlignment="1">
      <alignment vertical="center"/>
    </xf>
    <xf numFmtId="0" fontId="0" fillId="16" borderId="112" xfId="0" applyFill="1" applyBorder="1" applyAlignment="1">
      <alignment vertical="center"/>
    </xf>
    <xf numFmtId="0" fontId="0" fillId="16" borderId="113" xfId="0" applyFill="1" applyBorder="1" applyAlignment="1">
      <alignment vertical="center"/>
    </xf>
    <xf numFmtId="0" fontId="58" fillId="16" borderId="0" xfId="0" applyFont="1" applyFill="1" applyAlignment="1">
      <alignment horizontal="center" vertical="center"/>
    </xf>
    <xf numFmtId="0" fontId="3" fillId="16" borderId="0" xfId="0" applyFont="1" applyFill="1" applyAlignment="1">
      <alignment vertical="center"/>
    </xf>
    <xf numFmtId="0" fontId="2" fillId="16" borderId="93" xfId="0" applyFont="1" applyFill="1" applyBorder="1" applyAlignment="1" applyProtection="1">
      <alignment horizontal="center" vertical="center"/>
      <protection locked="0"/>
    </xf>
    <xf numFmtId="0" fontId="0" fillId="16" borderId="97" xfId="0" applyFill="1" applyBorder="1" applyAlignment="1">
      <alignment vertical="center"/>
    </xf>
    <xf numFmtId="0" fontId="0" fillId="16" borderId="99" xfId="0" applyFill="1" applyBorder="1" applyAlignment="1">
      <alignment vertical="center"/>
    </xf>
    <xf numFmtId="0" fontId="0" fillId="22" borderId="0" xfId="0" applyFill="1"/>
    <xf numFmtId="0" fontId="2" fillId="22" borderId="0" xfId="0" applyFont="1" applyFill="1"/>
    <xf numFmtId="0" fontId="0" fillId="22" borderId="0" xfId="0" applyFill="1" applyAlignment="1">
      <alignment vertical="center"/>
    </xf>
    <xf numFmtId="0" fontId="3" fillId="22" borderId="0" xfId="0" applyFont="1" applyFill="1"/>
    <xf numFmtId="0" fontId="91" fillId="16" borderId="0" xfId="11" applyFont="1" applyFill="1" applyAlignment="1">
      <alignment horizontal="center" vertical="center" wrapText="1"/>
    </xf>
    <xf numFmtId="0" fontId="103" fillId="16" borderId="109" xfId="11" applyFont="1" applyFill="1" applyBorder="1" applyAlignment="1">
      <alignment horizontal="center" vertical="center"/>
    </xf>
    <xf numFmtId="0" fontId="104" fillId="16" borderId="0" xfId="11" applyFont="1" applyFill="1" applyAlignment="1" applyProtection="1">
      <alignment horizontal="center" vertical="center" wrapText="1"/>
      <protection locked="0"/>
    </xf>
    <xf numFmtId="0" fontId="103" fillId="16" borderId="69" xfId="11" applyFont="1" applyFill="1" applyBorder="1" applyAlignment="1" applyProtection="1">
      <alignment horizontal="left" vertical="center" indent="1"/>
      <protection locked="0"/>
    </xf>
    <xf numFmtId="49" fontId="103" fillId="16" borderId="69" xfId="11" applyNumberFormat="1" applyFont="1" applyFill="1" applyBorder="1" applyAlignment="1" applyProtection="1">
      <alignment horizontal="left" vertical="center" indent="1"/>
      <protection locked="0"/>
    </xf>
    <xf numFmtId="49" fontId="103" fillId="16" borderId="57" xfId="11" applyNumberFormat="1" applyFont="1" applyFill="1" applyBorder="1" applyAlignment="1" applyProtection="1">
      <alignment horizontal="left" vertical="center" indent="1"/>
      <protection locked="0"/>
    </xf>
    <xf numFmtId="0" fontId="103" fillId="16" borderId="2" xfId="11" applyFont="1" applyFill="1" applyBorder="1" applyAlignment="1" applyProtection="1">
      <alignment horizontal="center" vertical="center"/>
      <protection locked="0"/>
    </xf>
    <xf numFmtId="0" fontId="110" fillId="16" borderId="1" xfId="0" applyFont="1" applyFill="1" applyBorder="1" applyAlignment="1" applyProtection="1">
      <alignment horizontal="center" vertical="center"/>
      <protection locked="0"/>
    </xf>
    <xf numFmtId="0" fontId="109" fillId="16" borderId="2" xfId="11" applyFont="1" applyFill="1" applyBorder="1" applyAlignment="1">
      <alignment horizontal="center" vertical="center"/>
    </xf>
    <xf numFmtId="0" fontId="42" fillId="16" borderId="32" xfId="0" applyFont="1" applyFill="1" applyBorder="1" applyAlignment="1">
      <alignment vertical="center"/>
    </xf>
    <xf numFmtId="0" fontId="104" fillId="16" borderId="0" xfId="11" applyFont="1" applyFill="1" applyAlignment="1">
      <alignment horizontal="center" vertical="center" wrapText="1"/>
    </xf>
    <xf numFmtId="0" fontId="91" fillId="16" borderId="10" xfId="11" applyFont="1" applyFill="1" applyBorder="1" applyAlignment="1">
      <alignment horizontal="left" vertical="center" indent="1"/>
    </xf>
    <xf numFmtId="49" fontId="91" fillId="16" borderId="10" xfId="11" applyNumberFormat="1" applyFont="1" applyFill="1" applyBorder="1" applyAlignment="1">
      <alignment horizontal="left" vertical="center" indent="1"/>
    </xf>
    <xf numFmtId="0" fontId="52" fillId="12" borderId="52" xfId="5" applyFill="1" applyBorder="1" applyAlignment="1" applyProtection="1">
      <alignment vertical="center"/>
      <protection locked="0"/>
    </xf>
    <xf numFmtId="0" fontId="0" fillId="0" borderId="1" xfId="0" applyBorder="1" applyAlignment="1" applyProtection="1">
      <alignment horizontal="center" vertical="center"/>
      <protection locked="0"/>
    </xf>
    <xf numFmtId="0" fontId="58" fillId="23" borderId="4" xfId="12" applyFont="1" applyBorder="1" applyAlignment="1"/>
    <xf numFmtId="0" fontId="58" fillId="23" borderId="116" xfId="12" applyFont="1" applyBorder="1" applyAlignment="1" applyProtection="1">
      <alignment horizontal="center"/>
    </xf>
    <xf numFmtId="0" fontId="58" fillId="23" borderId="68" xfId="12" applyFont="1" applyBorder="1" applyAlignment="1">
      <alignment horizontal="center"/>
    </xf>
    <xf numFmtId="0" fontId="58" fillId="23" borderId="27" xfId="12" applyFont="1" applyBorder="1" applyAlignment="1">
      <alignment horizontal="center"/>
    </xf>
    <xf numFmtId="0" fontId="58" fillId="23" borderId="36" xfId="12" applyFont="1" applyBorder="1" applyAlignment="1">
      <alignment horizontal="center"/>
    </xf>
    <xf numFmtId="0" fontId="8" fillId="3" borderId="8" xfId="0" applyFont="1" applyFill="1" applyBorder="1" applyAlignment="1">
      <alignment vertical="center"/>
    </xf>
    <xf numFmtId="4" fontId="2" fillId="0" borderId="117" xfId="0" applyNumberFormat="1" applyFont="1" applyBorder="1" applyAlignment="1">
      <alignment vertical="center"/>
    </xf>
    <xf numFmtId="4" fontId="0" fillId="0" borderId="96" xfId="0" applyNumberFormat="1" applyBorder="1" applyAlignment="1" applyProtection="1">
      <alignment vertical="center"/>
      <protection locked="0"/>
    </xf>
    <xf numFmtId="4" fontId="0" fillId="0" borderId="93"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3" borderId="5" xfId="0" applyFont="1" applyFill="1" applyBorder="1" applyAlignment="1">
      <alignment vertical="center"/>
    </xf>
    <xf numFmtId="4" fontId="2" fillId="0" borderId="118" xfId="0" applyNumberFormat="1" applyFont="1" applyBorder="1" applyAlignment="1">
      <alignment vertical="center"/>
    </xf>
    <xf numFmtId="4" fontId="0" fillId="7" borderId="57" xfId="0" applyNumberFormat="1" applyFill="1" applyBorder="1" applyAlignment="1" applyProtection="1">
      <alignment vertical="center"/>
      <protection locked="0"/>
    </xf>
    <xf numFmtId="4" fontId="0" fillId="7" borderId="3" xfId="0" applyNumberFormat="1" applyFill="1" applyBorder="1" applyAlignment="1" applyProtection="1">
      <alignment vertical="center"/>
      <protection locked="0"/>
    </xf>
    <xf numFmtId="4" fontId="0" fillId="7" borderId="9" xfId="0" applyNumberFormat="1" applyFill="1" applyBorder="1" applyAlignment="1" applyProtection="1">
      <alignment vertical="center"/>
      <protection locked="0"/>
    </xf>
    <xf numFmtId="0" fontId="91" fillId="24" borderId="0" xfId="11" applyFont="1" applyFill="1"/>
    <xf numFmtId="0" fontId="91" fillId="0" borderId="0" xfId="11" applyFont="1"/>
    <xf numFmtId="0" fontId="42" fillId="16" borderId="110" xfId="11" applyFont="1" applyFill="1" applyBorder="1" applyAlignment="1">
      <alignment horizontal="left" vertical="center"/>
    </xf>
    <xf numFmtId="0" fontId="42" fillId="16" borderId="0" xfId="11" applyFont="1" applyFill="1" applyAlignment="1">
      <alignment vertical="center"/>
    </xf>
    <xf numFmtId="0" fontId="91" fillId="24" borderId="0" xfId="11" applyFont="1" applyFill="1" applyAlignment="1">
      <alignment vertical="center"/>
    </xf>
    <xf numFmtId="0" fontId="91" fillId="0" borderId="0" xfId="11" applyFont="1" applyAlignment="1">
      <alignment vertical="center"/>
    </xf>
    <xf numFmtId="4" fontId="42" fillId="16" borderId="0" xfId="11" applyNumberFormat="1" applyFont="1" applyFill="1" applyAlignment="1">
      <alignment vertical="center"/>
    </xf>
    <xf numFmtId="4" fontId="91" fillId="24" borderId="0" xfId="11" applyNumberFormat="1" applyFont="1" applyFill="1" applyAlignment="1">
      <alignment vertical="center"/>
    </xf>
    <xf numFmtId="4" fontId="91" fillId="0" borderId="0" xfId="11" applyNumberFormat="1" applyFont="1" applyAlignment="1">
      <alignment vertical="center"/>
    </xf>
    <xf numFmtId="0" fontId="11" fillId="16" borderId="0" xfId="11" applyFont="1" applyFill="1"/>
    <xf numFmtId="0" fontId="42" fillId="16" borderId="0" xfId="11" applyFont="1" applyFill="1" applyAlignment="1">
      <alignment horizontal="right" vertical="center"/>
    </xf>
    <xf numFmtId="0" fontId="3" fillId="3" borderId="0" xfId="10" applyFill="1"/>
    <xf numFmtId="0" fontId="3" fillId="2" borderId="0" xfId="10" applyFill="1"/>
    <xf numFmtId="0" fontId="67" fillId="2" borderId="0" xfId="10" applyFont="1" applyFill="1"/>
    <xf numFmtId="0" fontId="3" fillId="2" borderId="0" xfId="10" applyFill="1" applyAlignment="1">
      <alignment vertical="top" wrapText="1"/>
    </xf>
    <xf numFmtId="0" fontId="3" fillId="2" borderId="0" xfId="10" applyFill="1" applyProtection="1">
      <protection locked="0"/>
    </xf>
    <xf numFmtId="0" fontId="8" fillId="3" borderId="114" xfId="0" applyFont="1" applyFill="1" applyBorder="1" applyAlignment="1">
      <alignment horizontal="center" vertical="center"/>
    </xf>
    <xf numFmtId="0" fontId="8" fillId="3" borderId="114" xfId="0" applyFont="1" applyFill="1" applyBorder="1" applyAlignment="1">
      <alignment horizontal="center" vertical="center" wrapText="1"/>
    </xf>
    <xf numFmtId="0" fontId="3" fillId="17" borderId="0" xfId="0" applyFont="1" applyFill="1" applyAlignment="1">
      <alignment horizontal="center"/>
    </xf>
    <xf numFmtId="0" fontId="72" fillId="18" borderId="0" xfId="0" applyFont="1" applyFill="1"/>
    <xf numFmtId="0" fontId="0" fillId="18" borderId="0" xfId="0" applyFill="1"/>
    <xf numFmtId="0" fontId="2" fillId="18" borderId="0" xfId="0" applyFont="1" applyFill="1"/>
    <xf numFmtId="0" fontId="3" fillId="18" borderId="0" xfId="0" applyFont="1" applyFill="1"/>
    <xf numFmtId="0" fontId="97" fillId="18" borderId="79" xfId="0" applyFont="1" applyFill="1" applyBorder="1" applyAlignment="1">
      <alignment horizontal="left" vertical="center"/>
    </xf>
    <xf numFmtId="0" fontId="0" fillId="18" borderId="70" xfId="0" applyFill="1" applyBorder="1" applyAlignment="1">
      <alignment horizontal="left"/>
    </xf>
    <xf numFmtId="0" fontId="0" fillId="18" borderId="76" xfId="0" applyFill="1" applyBorder="1" applyAlignment="1">
      <alignment horizontal="left"/>
    </xf>
    <xf numFmtId="0" fontId="97" fillId="18" borderId="77" xfId="0" applyFont="1" applyFill="1" applyBorder="1" applyAlignment="1">
      <alignment horizontal="left" vertical="center"/>
    </xf>
    <xf numFmtId="0" fontId="97" fillId="18" borderId="40" xfId="0" applyFont="1" applyFill="1" applyBorder="1" applyAlignment="1">
      <alignment horizontal="left" vertical="center"/>
    </xf>
    <xf numFmtId="0" fontId="97" fillId="18" borderId="78" xfId="0" applyFont="1" applyFill="1" applyBorder="1" applyAlignment="1">
      <alignment horizontal="left" vertical="center"/>
    </xf>
    <xf numFmtId="0" fontId="0" fillId="18" borderId="79" xfId="0" applyFill="1" applyBorder="1" applyAlignment="1">
      <alignment horizontal="left"/>
    </xf>
    <xf numFmtId="0" fontId="0" fillId="18" borderId="0" xfId="0" applyFill="1" applyAlignment="1">
      <alignment horizontal="left"/>
    </xf>
    <xf numFmtId="0" fontId="98" fillId="18" borderId="19" xfId="0" applyFont="1" applyFill="1" applyBorder="1" applyAlignment="1">
      <alignment horizontal="left" vertical="center"/>
    </xf>
    <xf numFmtId="0" fontId="0" fillId="18" borderId="0" xfId="0" applyFill="1" applyAlignment="1">
      <alignment horizontal="left" vertical="center"/>
    </xf>
    <xf numFmtId="0" fontId="0" fillId="18" borderId="32" xfId="0" applyFill="1" applyBorder="1" applyAlignment="1">
      <alignment horizontal="left" vertical="center"/>
    </xf>
    <xf numFmtId="0" fontId="0" fillId="18" borderId="19" xfId="0" applyFill="1" applyBorder="1" applyAlignment="1">
      <alignment horizontal="left"/>
    </xf>
    <xf numFmtId="0" fontId="98" fillId="18" borderId="28" xfId="0" applyFont="1" applyFill="1" applyBorder="1" applyAlignment="1">
      <alignment horizontal="left" vertical="center"/>
    </xf>
    <xf numFmtId="0" fontId="0" fillId="18" borderId="27" xfId="0" applyFill="1" applyBorder="1" applyAlignment="1">
      <alignment horizontal="left" vertical="center"/>
    </xf>
    <xf numFmtId="0" fontId="0" fillId="18" borderId="36" xfId="0" applyFill="1" applyBorder="1" applyAlignment="1">
      <alignment horizontal="left" vertical="center"/>
    </xf>
    <xf numFmtId="0" fontId="98" fillId="18" borderId="77" xfId="0" applyFont="1" applyFill="1" applyBorder="1" applyAlignment="1">
      <alignment horizontal="center" vertical="center"/>
    </xf>
    <xf numFmtId="0" fontId="98" fillId="18" borderId="40" xfId="0" applyFont="1" applyFill="1" applyBorder="1" applyAlignment="1">
      <alignment horizontal="center" vertical="center"/>
    </xf>
    <xf numFmtId="0" fontId="98" fillId="18" borderId="78" xfId="0" applyFont="1" applyFill="1" applyBorder="1" applyAlignment="1">
      <alignment horizontal="center" vertical="center"/>
    </xf>
    <xf numFmtId="0" fontId="98" fillId="18" borderId="10" xfId="0" applyFont="1" applyFill="1" applyBorder="1" applyAlignment="1">
      <alignment horizontal="center" vertical="center"/>
    </xf>
    <xf numFmtId="0" fontId="98" fillId="18" borderId="93" xfId="0" applyFont="1" applyFill="1" applyBorder="1" applyAlignment="1">
      <alignment horizontal="center" vertical="center"/>
    </xf>
    <xf numFmtId="0" fontId="98" fillId="18" borderId="1" xfId="0" applyFont="1" applyFill="1" applyBorder="1" applyAlignment="1">
      <alignment horizontal="center" vertical="center"/>
    </xf>
    <xf numFmtId="0" fontId="0" fillId="0" borderId="28" xfId="0" applyBorder="1" applyAlignment="1">
      <alignment vertical="center"/>
    </xf>
    <xf numFmtId="0" fontId="0" fillId="0" borderId="27" xfId="0" applyBorder="1" applyAlignment="1">
      <alignment horizontal="center"/>
    </xf>
    <xf numFmtId="3" fontId="0" fillId="0" borderId="27" xfId="0" applyNumberFormat="1" applyBorder="1" applyAlignment="1">
      <alignment horizontal="right"/>
    </xf>
    <xf numFmtId="3" fontId="0" fillId="0" borderId="36" xfId="0" applyNumberFormat="1" applyBorder="1" applyAlignment="1">
      <alignment horizontal="right"/>
    </xf>
    <xf numFmtId="0" fontId="0" fillId="18" borderId="19" xfId="0" applyFill="1" applyBorder="1"/>
    <xf numFmtId="0" fontId="0" fillId="0" borderId="10" xfId="0" applyBorder="1" applyAlignment="1">
      <alignment vertical="center" wrapText="1"/>
    </xf>
    <xf numFmtId="49" fontId="0" fillId="0" borderId="93" xfId="0" applyNumberFormat="1" applyBorder="1" applyAlignment="1">
      <alignment horizontal="center"/>
    </xf>
    <xf numFmtId="3" fontId="0" fillId="0" borderId="93" xfId="0" applyNumberFormat="1" applyBorder="1"/>
    <xf numFmtId="3" fontId="0" fillId="0" borderId="1" xfId="0" applyNumberFormat="1" applyBorder="1"/>
    <xf numFmtId="0" fontId="0" fillId="0" borderId="10" xfId="0" applyBorder="1" applyAlignment="1">
      <alignment vertical="center"/>
    </xf>
    <xf numFmtId="0" fontId="0" fillId="0" borderId="93" xfId="0" applyBorder="1" applyAlignment="1">
      <alignment horizontal="center"/>
    </xf>
    <xf numFmtId="3" fontId="0" fillId="0" borderId="93" xfId="0" applyNumberFormat="1" applyBorder="1" applyAlignment="1">
      <alignment horizontal="right"/>
    </xf>
    <xf numFmtId="3" fontId="0" fillId="0" borderId="1" xfId="0" applyNumberFormat="1" applyBorder="1" applyAlignment="1">
      <alignment horizontal="right"/>
    </xf>
    <xf numFmtId="49" fontId="3" fillId="0" borderId="93" xfId="0" applyNumberFormat="1" applyFont="1" applyBorder="1" applyAlignment="1">
      <alignment horizontal="center"/>
    </xf>
    <xf numFmtId="0" fontId="0" fillId="0" borderId="11" xfId="0" applyBorder="1" applyAlignment="1">
      <alignment vertical="center"/>
    </xf>
    <xf numFmtId="49" fontId="3" fillId="0" borderId="3" xfId="0" applyNumberFormat="1" applyFont="1" applyBorder="1" applyAlignment="1">
      <alignment horizontal="center"/>
    </xf>
    <xf numFmtId="3" fontId="0" fillId="0" borderId="3" xfId="0" applyNumberFormat="1" applyBorder="1"/>
    <xf numFmtId="3" fontId="0" fillId="0" borderId="9" xfId="0" applyNumberFormat="1" applyBorder="1"/>
    <xf numFmtId="3" fontId="0" fillId="18" borderId="0" xfId="0" applyNumberFormat="1" applyFill="1"/>
    <xf numFmtId="0" fontId="2" fillId="16" borderId="4" xfId="0" applyFont="1" applyFill="1" applyBorder="1"/>
    <xf numFmtId="0" fontId="2" fillId="16" borderId="22" xfId="0" applyFont="1" applyFill="1" applyBorder="1"/>
    <xf numFmtId="0" fontId="2" fillId="16" borderId="6" xfId="0" applyFont="1" applyFill="1" applyBorder="1"/>
    <xf numFmtId="0" fontId="0" fillId="16" borderId="77" xfId="0" applyFill="1" applyBorder="1"/>
    <xf numFmtId="0" fontId="0" fillId="16" borderId="40" xfId="0" applyFill="1" applyBorder="1"/>
    <xf numFmtId="0" fontId="0" fillId="16" borderId="78" xfId="0" applyFill="1" applyBorder="1"/>
    <xf numFmtId="0" fontId="0" fillId="0" borderId="3" xfId="0" applyBorder="1" applyAlignment="1">
      <alignment horizontal="center"/>
    </xf>
    <xf numFmtId="3" fontId="0" fillId="0" borderId="3" xfId="0" applyNumberFormat="1" applyBorder="1" applyAlignment="1">
      <alignment horizontal="right"/>
    </xf>
    <xf numFmtId="3" fontId="0" fillId="0" borderId="9" xfId="0" applyNumberFormat="1" applyBorder="1" applyAlignment="1">
      <alignment horizontal="right"/>
    </xf>
    <xf numFmtId="49" fontId="0" fillId="18" borderId="0" xfId="0" applyNumberFormat="1" applyFill="1"/>
    <xf numFmtId="0" fontId="98" fillId="18" borderId="79" xfId="0" applyFont="1" applyFill="1" applyBorder="1" applyAlignment="1">
      <alignment horizontal="center" vertical="center"/>
    </xf>
    <xf numFmtId="0" fontId="98" fillId="18" borderId="70" xfId="0" applyFont="1" applyFill="1" applyBorder="1" applyAlignment="1">
      <alignment horizontal="center" vertical="center"/>
    </xf>
    <xf numFmtId="0" fontId="98" fillId="18" borderId="70" xfId="0" applyFont="1" applyFill="1" applyBorder="1" applyAlignment="1">
      <alignment horizontal="right" vertical="center"/>
    </xf>
    <xf numFmtId="0" fontId="98" fillId="18" borderId="76" xfId="0" applyFont="1" applyFill="1" applyBorder="1" applyAlignment="1">
      <alignment horizontal="center" vertical="center"/>
    </xf>
    <xf numFmtId="0" fontId="3" fillId="0" borderId="27" xfId="0" applyFont="1" applyBorder="1" applyAlignment="1">
      <alignment horizontal="center"/>
    </xf>
    <xf numFmtId="3" fontId="3" fillId="0" borderId="27" xfId="0" applyNumberFormat="1" applyFont="1" applyBorder="1"/>
    <xf numFmtId="3" fontId="3" fillId="0" borderId="36" xfId="0" applyNumberFormat="1" applyFont="1" applyBorder="1"/>
    <xf numFmtId="0" fontId="3" fillId="0" borderId="93" xfId="0" applyFont="1" applyBorder="1" applyAlignment="1">
      <alignment horizontal="center"/>
    </xf>
    <xf numFmtId="3" fontId="3" fillId="0" borderId="93" xfId="0" applyNumberFormat="1" applyFont="1" applyBorder="1"/>
    <xf numFmtId="3" fontId="3" fillId="0" borderId="1" xfId="0" applyNumberFormat="1" applyFont="1" applyBorder="1"/>
    <xf numFmtId="0" fontId="3" fillId="0" borderId="3" xfId="0" applyFont="1" applyBorder="1" applyAlignment="1">
      <alignment horizontal="center"/>
    </xf>
    <xf numFmtId="3" fontId="3" fillId="0" borderId="3" xfId="0" applyNumberFormat="1" applyFont="1" applyBorder="1"/>
    <xf numFmtId="3" fontId="3" fillId="0" borderId="9" xfId="0" applyNumberFormat="1" applyFont="1" applyBorder="1"/>
    <xf numFmtId="0" fontId="11" fillId="7" borderId="61" xfId="0" applyFont="1" applyFill="1" applyBorder="1" applyAlignment="1">
      <alignment vertical="center"/>
    </xf>
    <xf numFmtId="14" fontId="3" fillId="7" borderId="40" xfId="0" applyNumberFormat="1" applyFont="1" applyFill="1" applyBorder="1" applyAlignment="1" applyProtection="1">
      <alignment horizontal="left" vertical="center"/>
      <protection locked="0"/>
    </xf>
    <xf numFmtId="0" fontId="0" fillId="0" borderId="0" xfId="0" applyAlignment="1">
      <alignment wrapText="1"/>
    </xf>
    <xf numFmtId="0" fontId="0" fillId="0" borderId="37" xfId="0" applyBorder="1" applyAlignment="1">
      <alignment vertical="center"/>
    </xf>
    <xf numFmtId="0" fontId="3" fillId="7" borderId="34" xfId="0" applyFont="1" applyFill="1" applyBorder="1" applyAlignment="1">
      <alignment vertical="center"/>
    </xf>
    <xf numFmtId="0" fontId="3" fillId="2" borderId="0" xfId="0" applyFont="1" applyFill="1" applyAlignment="1">
      <alignment horizontal="center"/>
    </xf>
    <xf numFmtId="0" fontId="3" fillId="7" borderId="37" xfId="0" applyFont="1" applyFill="1" applyBorder="1" applyAlignment="1">
      <alignment vertical="center"/>
    </xf>
    <xf numFmtId="0" fontId="3" fillId="7" borderId="0" xfId="0" applyFont="1" applyFill="1" applyAlignment="1">
      <alignment horizontal="center"/>
    </xf>
    <xf numFmtId="0" fontId="3" fillId="7" borderId="0" xfId="0" applyFont="1" applyFill="1"/>
    <xf numFmtId="0" fontId="2" fillId="7" borderId="0" xfId="0" applyFont="1" applyFill="1" applyAlignment="1">
      <alignment horizontal="center" vertical="center"/>
    </xf>
    <xf numFmtId="0" fontId="11" fillId="7" borderId="0" xfId="0" applyFont="1" applyFill="1" applyAlignment="1">
      <alignment vertical="center"/>
    </xf>
    <xf numFmtId="0" fontId="3" fillId="7" borderId="110" xfId="0" applyFont="1" applyFill="1" applyBorder="1" applyAlignment="1">
      <alignment vertical="center"/>
    </xf>
    <xf numFmtId="0" fontId="3" fillId="7" borderId="100" xfId="0" applyFont="1" applyFill="1" applyBorder="1" applyAlignment="1">
      <alignment vertical="center"/>
    </xf>
    <xf numFmtId="0" fontId="58" fillId="7" borderId="0" xfId="0" applyFont="1" applyFill="1" applyAlignment="1">
      <alignment horizontal="center" vertical="center"/>
    </xf>
    <xf numFmtId="0" fontId="11" fillId="7" borderId="0" xfId="0" applyFont="1" applyFill="1" applyAlignment="1">
      <alignment horizontal="right" vertical="center"/>
    </xf>
    <xf numFmtId="49" fontId="11" fillId="7" borderId="0" xfId="0" applyNumberFormat="1" applyFont="1" applyFill="1" applyAlignment="1">
      <alignment horizontal="right" vertical="center"/>
    </xf>
    <xf numFmtId="0" fontId="2" fillId="7" borderId="2" xfId="0" applyFont="1" applyFill="1" applyBorder="1" applyAlignment="1">
      <alignment horizontal="center" vertical="center"/>
    </xf>
    <xf numFmtId="0" fontId="58" fillId="7" borderId="37" xfId="0" applyFont="1" applyFill="1" applyBorder="1" applyAlignment="1">
      <alignment horizontal="center" vertical="center"/>
    </xf>
    <xf numFmtId="0" fontId="3" fillId="2" borderId="34" xfId="0" applyFont="1" applyFill="1" applyBorder="1" applyAlignment="1">
      <alignment vertical="center"/>
    </xf>
    <xf numFmtId="3" fontId="3" fillId="7" borderId="0" xfId="0" applyNumberFormat="1" applyFont="1" applyFill="1" applyAlignment="1">
      <alignment vertical="center"/>
    </xf>
    <xf numFmtId="0" fontId="36" fillId="2" borderId="112" xfId="0" applyFont="1" applyFill="1" applyBorder="1" applyAlignment="1">
      <alignment horizontal="center" vertical="center"/>
    </xf>
    <xf numFmtId="0" fontId="0" fillId="0" borderId="122" xfId="0" applyBorder="1" applyAlignment="1">
      <alignment vertical="center"/>
    </xf>
    <xf numFmtId="0" fontId="3" fillId="7" borderId="0" xfId="0" applyFont="1" applyFill="1" applyAlignment="1">
      <alignment horizontal="left" vertical="center"/>
    </xf>
    <xf numFmtId="0" fontId="0" fillId="16" borderId="93" xfId="0" applyFill="1" applyBorder="1" applyAlignment="1">
      <alignment vertical="center"/>
    </xf>
    <xf numFmtId="49" fontId="3" fillId="6" borderId="52" xfId="0" applyNumberFormat="1" applyFont="1" applyFill="1" applyBorder="1" applyAlignment="1" applyProtection="1">
      <alignment horizontal="left" vertical="center"/>
      <protection locked="0"/>
    </xf>
    <xf numFmtId="0" fontId="78" fillId="7" borderId="0" xfId="0" applyFont="1" applyFill="1" applyAlignment="1" applyProtection="1">
      <alignment vertical="center"/>
      <protection locked="0"/>
    </xf>
    <xf numFmtId="0" fontId="83" fillId="2" borderId="0" xfId="0" applyFont="1" applyFill="1" applyAlignment="1" applyProtection="1">
      <alignment vertical="center"/>
      <protection locked="0"/>
    </xf>
    <xf numFmtId="0" fontId="2" fillId="7" borderId="93" xfId="0" applyFont="1" applyFill="1" applyBorder="1" applyAlignment="1" applyProtection="1">
      <alignment horizontal="center" vertical="center"/>
      <protection locked="0"/>
    </xf>
    <xf numFmtId="0" fontId="103" fillId="16" borderId="81" xfId="11" applyFont="1" applyFill="1" applyBorder="1" applyAlignment="1" applyProtection="1">
      <alignment horizontal="center" vertical="center"/>
      <protection locked="0"/>
    </xf>
    <xf numFmtId="0" fontId="25" fillId="6" borderId="124" xfId="0" applyFont="1" applyFill="1" applyBorder="1" applyAlignment="1">
      <alignment vertical="center"/>
    </xf>
    <xf numFmtId="0" fontId="13" fillId="20" borderId="5" xfId="0" applyFont="1" applyFill="1" applyBorder="1" applyAlignment="1">
      <alignment horizontal="center" vertical="center"/>
    </xf>
    <xf numFmtId="0" fontId="8" fillId="20" borderId="8" xfId="0" applyFont="1" applyFill="1" applyBorder="1" applyAlignment="1">
      <alignment horizontal="center" vertical="center"/>
    </xf>
    <xf numFmtId="0" fontId="8" fillId="20" borderId="5" xfId="0" applyFont="1" applyFill="1" applyBorder="1" applyAlignment="1">
      <alignment horizontal="center" vertical="center"/>
    </xf>
    <xf numFmtId="0" fontId="13" fillId="3" borderId="123" xfId="0" applyFont="1" applyFill="1" applyBorder="1" applyAlignment="1">
      <alignment horizontal="center" vertical="center"/>
    </xf>
    <xf numFmtId="0" fontId="13" fillId="3" borderId="1" xfId="0" applyFont="1" applyFill="1" applyBorder="1" applyAlignment="1">
      <alignment horizontal="center" vertical="center"/>
    </xf>
    <xf numFmtId="3" fontId="25" fillId="2" borderId="2" xfId="0" applyNumberFormat="1" applyFont="1" applyFill="1" applyBorder="1" applyAlignment="1">
      <alignment horizontal="center" vertical="center"/>
    </xf>
    <xf numFmtId="0" fontId="3" fillId="0" borderId="41" xfId="10" applyBorder="1" applyAlignment="1">
      <alignment vertical="center"/>
    </xf>
    <xf numFmtId="0" fontId="3" fillId="7" borderId="0" xfId="10" applyFill="1"/>
    <xf numFmtId="0" fontId="3" fillId="7" borderId="0" xfId="10" applyFill="1" applyAlignment="1">
      <alignment vertical="center"/>
    </xf>
    <xf numFmtId="0" fontId="3" fillId="0" borderId="0" xfId="10" applyAlignment="1">
      <alignment vertical="center"/>
    </xf>
    <xf numFmtId="0" fontId="13" fillId="3" borderId="123" xfId="10" applyFont="1" applyFill="1" applyBorder="1" applyAlignment="1">
      <alignment horizontal="center" vertical="center"/>
    </xf>
    <xf numFmtId="0" fontId="13" fillId="3" borderId="1" xfId="10" applyFont="1" applyFill="1" applyBorder="1" applyAlignment="1">
      <alignment horizontal="center" vertical="center"/>
    </xf>
    <xf numFmtId="0" fontId="13" fillId="3" borderId="8" xfId="10" applyFont="1" applyFill="1" applyBorder="1" applyAlignment="1">
      <alignment horizontal="center" vertical="center"/>
    </xf>
    <xf numFmtId="3" fontId="25" fillId="2" borderId="2" xfId="10" applyNumberFormat="1" applyFont="1" applyFill="1" applyBorder="1" applyAlignment="1" applyProtection="1">
      <alignment horizontal="center" vertical="center"/>
      <protection locked="0"/>
    </xf>
    <xf numFmtId="0" fontId="25" fillId="3" borderId="1" xfId="10" applyFont="1" applyFill="1" applyBorder="1" applyAlignment="1">
      <alignment horizontal="left"/>
    </xf>
    <xf numFmtId="3" fontId="25" fillId="2" borderId="2" xfId="10" applyNumberFormat="1" applyFont="1" applyFill="1" applyBorder="1" applyAlignment="1">
      <alignment horizontal="center" vertical="center"/>
    </xf>
    <xf numFmtId="0" fontId="31" fillId="7" borderId="0" xfId="10" applyFont="1" applyFill="1"/>
    <xf numFmtId="0" fontId="31" fillId="0" borderId="0" xfId="10" applyFont="1"/>
    <xf numFmtId="0" fontId="5" fillId="4" borderId="0" xfId="10" applyFont="1" applyFill="1"/>
    <xf numFmtId="0" fontId="3" fillId="4" borderId="0" xfId="10" applyFill="1"/>
    <xf numFmtId="0" fontId="6" fillId="20" borderId="28" xfId="10" applyFont="1" applyFill="1" applyBorder="1" applyAlignment="1">
      <alignment horizontal="center" vertical="center" wrapText="1"/>
    </xf>
    <xf numFmtId="0" fontId="6" fillId="20" borderId="27" xfId="10" applyFont="1" applyFill="1" applyBorder="1" applyAlignment="1">
      <alignment horizontal="center" vertical="center" wrapText="1"/>
    </xf>
    <xf numFmtId="0" fontId="6" fillId="20" borderId="33" xfId="10" applyFont="1" applyFill="1" applyBorder="1" applyAlignment="1">
      <alignment horizontal="center" vertical="center" wrapText="1"/>
    </xf>
    <xf numFmtId="0" fontId="6" fillId="20" borderId="36" xfId="10" applyFont="1" applyFill="1" applyBorder="1" applyAlignment="1">
      <alignment horizontal="center" vertical="center" wrapText="1"/>
    </xf>
    <xf numFmtId="0" fontId="6" fillId="4" borderId="0" xfId="10" applyFont="1" applyFill="1" applyAlignment="1">
      <alignment horizontal="right"/>
    </xf>
    <xf numFmtId="0" fontId="67" fillId="21" borderId="0" xfId="10" applyFont="1" applyFill="1" applyAlignment="1">
      <alignment horizontal="left" vertical="center"/>
    </xf>
    <xf numFmtId="14" fontId="3" fillId="20" borderId="10" xfId="3" applyNumberFormat="1" applyFill="1" applyBorder="1" applyAlignment="1">
      <alignment horizontal="center" vertical="center"/>
    </xf>
    <xf numFmtId="3" fontId="5" fillId="2" borderId="93" xfId="10" applyNumberFormat="1" applyFont="1" applyFill="1" applyBorder="1" applyAlignment="1">
      <alignment horizontal="center" vertical="center"/>
    </xf>
    <xf numFmtId="3" fontId="5" fillId="2" borderId="123" xfId="10" applyNumberFormat="1" applyFont="1" applyFill="1" applyBorder="1" applyAlignment="1">
      <alignment horizontal="center" vertical="center"/>
    </xf>
    <xf numFmtId="3" fontId="5" fillId="2" borderId="1" xfId="10" applyNumberFormat="1" applyFont="1" applyFill="1" applyBorder="1" applyAlignment="1">
      <alignment horizontal="center" vertical="center"/>
    </xf>
    <xf numFmtId="0" fontId="119" fillId="20" borderId="0" xfId="10" applyFont="1" applyFill="1" applyAlignment="1">
      <alignment horizontal="center" vertical="center"/>
    </xf>
    <xf numFmtId="165" fontId="3" fillId="20" borderId="10" xfId="3" applyNumberFormat="1" applyFill="1" applyBorder="1" applyAlignment="1">
      <alignment horizontal="center" vertical="center" wrapText="1"/>
    </xf>
    <xf numFmtId="14" fontId="5" fillId="20" borderId="8" xfId="10" applyNumberFormat="1" applyFont="1" applyFill="1" applyBorder="1" applyAlignment="1">
      <alignment horizontal="center" vertical="center"/>
    </xf>
    <xf numFmtId="3" fontId="3" fillId="2" borderId="93" xfId="10" applyNumberFormat="1" applyFill="1" applyBorder="1" applyAlignment="1">
      <alignment horizontal="center" vertical="center"/>
    </xf>
    <xf numFmtId="14" fontId="3" fillId="20" borderId="11" xfId="3" applyNumberFormat="1" applyFill="1" applyBorder="1" applyAlignment="1">
      <alignment horizontal="center" vertical="center"/>
    </xf>
    <xf numFmtId="3" fontId="3" fillId="2" borderId="3" xfId="10" applyNumberFormat="1" applyFill="1" applyBorder="1" applyAlignment="1">
      <alignment horizontal="center" vertical="center"/>
    </xf>
    <xf numFmtId="3" fontId="5" fillId="2" borderId="3" xfId="10" applyNumberFormat="1" applyFont="1" applyFill="1" applyBorder="1" applyAlignment="1">
      <alignment horizontal="center" vertical="center"/>
    </xf>
    <xf numFmtId="3" fontId="5" fillId="2" borderId="9" xfId="10" applyNumberFormat="1" applyFont="1" applyFill="1" applyBorder="1" applyAlignment="1">
      <alignment horizontal="center" vertical="center"/>
    </xf>
    <xf numFmtId="16" fontId="5" fillId="4" borderId="0" xfId="10" applyNumberFormat="1" applyFont="1" applyFill="1" applyAlignment="1">
      <alignment horizontal="center"/>
    </xf>
    <xf numFmtId="0" fontId="0" fillId="0" borderId="69" xfId="0" applyBorder="1"/>
    <xf numFmtId="0" fontId="0" fillId="16" borderId="37" xfId="0" applyFill="1" applyBorder="1" applyAlignment="1">
      <alignment vertical="center"/>
    </xf>
    <xf numFmtId="0" fontId="0" fillId="0" borderId="112" xfId="0" applyBorder="1" applyAlignment="1">
      <alignment vertical="center" wrapText="1"/>
    </xf>
    <xf numFmtId="0" fontId="0" fillId="0" borderId="95" xfId="0" applyBorder="1"/>
    <xf numFmtId="0" fontId="11" fillId="16" borderId="113" xfId="0" applyFont="1" applyFill="1" applyBorder="1" applyAlignment="1">
      <alignment horizontal="right" vertical="center" wrapText="1"/>
    </xf>
    <xf numFmtId="0" fontId="11" fillId="0" borderId="125" xfId="0" applyFont="1" applyBorder="1" applyAlignment="1">
      <alignment horizontal="right" vertical="center" wrapText="1"/>
    </xf>
    <xf numFmtId="0" fontId="2" fillId="0" borderId="93" xfId="0" applyFont="1" applyBorder="1" applyAlignment="1" applyProtection="1">
      <alignment horizontal="center" vertical="center" wrapText="1"/>
      <protection locked="0"/>
    </xf>
    <xf numFmtId="3" fontId="3" fillId="7" borderId="0" xfId="0" applyNumberFormat="1" applyFont="1" applyFill="1" applyAlignment="1" applyProtection="1">
      <alignment horizontal="left" vertical="center"/>
      <protection locked="0"/>
    </xf>
    <xf numFmtId="0" fontId="11" fillId="6" borderId="125" xfId="10" applyFont="1" applyFill="1" applyBorder="1" applyAlignment="1">
      <alignment horizontal="center" vertical="center" wrapText="1"/>
    </xf>
    <xf numFmtId="0" fontId="11" fillId="6" borderId="84" xfId="10" applyFont="1" applyFill="1" applyBorder="1" applyAlignment="1">
      <alignment horizontal="center" vertical="center" wrapText="1"/>
    </xf>
    <xf numFmtId="0" fontId="8" fillId="3" borderId="10" xfId="10" applyFont="1" applyFill="1" applyBorder="1" applyAlignment="1">
      <alignment horizontal="center" vertical="center"/>
    </xf>
    <xf numFmtId="0" fontId="3" fillId="0" borderId="128" xfId="10" applyBorder="1" applyAlignment="1">
      <alignment horizontal="center" vertical="center"/>
    </xf>
    <xf numFmtId="0" fontId="3" fillId="0" borderId="128" xfId="10" applyBorder="1" applyAlignment="1" applyProtection="1">
      <alignment horizontal="center" vertical="center"/>
      <protection locked="0"/>
    </xf>
    <xf numFmtId="0" fontId="3" fillId="0" borderId="1" xfId="10" applyBorder="1" applyAlignment="1" applyProtection="1">
      <alignment horizontal="center" vertical="center"/>
      <protection locked="0"/>
    </xf>
    <xf numFmtId="0" fontId="8" fillId="3" borderId="11" xfId="10" applyFont="1" applyFill="1" applyBorder="1" applyAlignment="1">
      <alignment horizontal="center" vertical="center"/>
    </xf>
    <xf numFmtId="0" fontId="3" fillId="0" borderId="3" xfId="10" applyBorder="1" applyAlignment="1">
      <alignment horizontal="center" vertical="center"/>
    </xf>
    <xf numFmtId="0" fontId="3" fillId="0" borderId="9" xfId="10" applyBorder="1" applyAlignment="1">
      <alignment horizontal="center" vertical="center"/>
    </xf>
    <xf numFmtId="0" fontId="0" fillId="0" borderId="9" xfId="0" applyBorder="1" applyAlignment="1">
      <alignment horizontal="center" vertical="center"/>
    </xf>
    <xf numFmtId="0" fontId="11" fillId="6" borderId="125" xfId="0" applyFont="1" applyFill="1" applyBorder="1" applyAlignment="1">
      <alignment horizontal="center" vertical="center" wrapText="1"/>
    </xf>
    <xf numFmtId="0" fontId="0" fillId="0" borderId="128" xfId="0" applyBorder="1" applyAlignment="1" applyProtection="1">
      <alignment horizontal="center" vertical="center"/>
      <protection locked="0"/>
    </xf>
    <xf numFmtId="3" fontId="25" fillId="2" borderId="93" xfId="0" applyNumberFormat="1" applyFont="1" applyFill="1" applyBorder="1" applyAlignment="1">
      <alignment horizontal="center" vertical="center"/>
    </xf>
    <xf numFmtId="0" fontId="76" fillId="7" borderId="136" xfId="0" applyFont="1" applyFill="1" applyBorder="1" applyAlignment="1">
      <alignment vertical="center"/>
    </xf>
    <xf numFmtId="0" fontId="31" fillId="7" borderId="0" xfId="0" applyFont="1" applyFill="1"/>
    <xf numFmtId="0" fontId="76" fillId="20" borderId="0" xfId="0" applyFont="1" applyFill="1" applyAlignment="1">
      <alignment horizontal="left" vertical="center" wrapText="1"/>
    </xf>
    <xf numFmtId="0" fontId="2" fillId="2" borderId="41" xfId="0" applyFont="1" applyFill="1" applyBorder="1" applyAlignment="1" applyProtection="1">
      <alignment horizontal="center" vertical="center"/>
      <protection locked="0"/>
    </xf>
    <xf numFmtId="0" fontId="117" fillId="20" borderId="0" xfId="5" applyFont="1" applyFill="1" applyAlignment="1" applyProtection="1"/>
    <xf numFmtId="0" fontId="95" fillId="20" borderId="0" xfId="8" applyFont="1" applyFill="1" applyAlignment="1">
      <alignment wrapText="1"/>
    </xf>
    <xf numFmtId="0" fontId="94" fillId="20" borderId="0" xfId="7" applyFont="1" applyFill="1" applyAlignment="1">
      <alignment wrapText="1" shrinkToFit="1"/>
    </xf>
    <xf numFmtId="0" fontId="65" fillId="20" borderId="0" xfId="7" applyFont="1" applyFill="1"/>
    <xf numFmtId="3" fontId="25" fillId="2" borderId="131" xfId="0" applyNumberFormat="1" applyFont="1" applyFill="1" applyBorder="1" applyAlignment="1" applyProtection="1">
      <alignment horizontal="center" vertical="center"/>
      <protection locked="0"/>
    </xf>
    <xf numFmtId="0" fontId="3" fillId="7" borderId="136" xfId="0" applyFont="1" applyFill="1" applyBorder="1" applyAlignment="1">
      <alignment vertical="center"/>
    </xf>
    <xf numFmtId="0" fontId="2" fillId="7" borderId="110" xfId="0" applyFont="1" applyFill="1" applyBorder="1" applyAlignment="1">
      <alignment vertical="center"/>
    </xf>
    <xf numFmtId="0" fontId="3" fillId="7" borderId="112" xfId="0" applyFont="1" applyFill="1" applyBorder="1" applyAlignment="1">
      <alignment vertical="center"/>
    </xf>
    <xf numFmtId="0" fontId="3" fillId="7" borderId="141" xfId="0" applyFont="1" applyFill="1" applyBorder="1" applyAlignment="1">
      <alignment vertical="center"/>
    </xf>
    <xf numFmtId="0" fontId="25" fillId="7" borderId="93" xfId="0" applyFont="1" applyFill="1" applyBorder="1" applyAlignment="1">
      <alignment horizontal="center" vertical="center"/>
    </xf>
    <xf numFmtId="0" fontId="25" fillId="6" borderId="93" xfId="0" applyFont="1" applyFill="1" applyBorder="1" applyAlignment="1">
      <alignment horizontal="center" vertical="center"/>
    </xf>
    <xf numFmtId="49" fontId="126" fillId="16" borderId="11" xfId="11" applyNumberFormat="1" applyFont="1" applyFill="1" applyBorder="1" applyAlignment="1">
      <alignment horizontal="left" vertical="center" indent="1"/>
    </xf>
    <xf numFmtId="0" fontId="58" fillId="7" borderId="136" xfId="0" applyFont="1" applyFill="1" applyBorder="1" applyAlignment="1">
      <alignment horizontal="center" vertical="center"/>
    </xf>
    <xf numFmtId="0" fontId="129" fillId="0" borderId="0" xfId="0" applyFont="1" applyProtection="1">
      <protection locked="0"/>
    </xf>
    <xf numFmtId="0" fontId="130" fillId="0" borderId="0" xfId="0" applyFont="1" applyProtection="1">
      <protection locked="0"/>
    </xf>
    <xf numFmtId="0" fontId="131" fillId="0" borderId="0" xfId="0" applyFont="1" applyProtection="1">
      <protection locked="0"/>
    </xf>
    <xf numFmtId="49" fontId="130" fillId="0" borderId="0" xfId="0" applyNumberFormat="1" applyFont="1" applyProtection="1">
      <protection locked="0"/>
    </xf>
    <xf numFmtId="3" fontId="130" fillId="0" borderId="0" xfId="0" applyNumberFormat="1" applyFont="1" applyProtection="1">
      <protection locked="0"/>
    </xf>
    <xf numFmtId="0" fontId="132" fillId="0" borderId="0" xfId="0" applyFont="1" applyProtection="1">
      <protection locked="0"/>
    </xf>
    <xf numFmtId="0" fontId="130" fillId="0" borderId="0" xfId="0" quotePrefix="1" applyFont="1" applyProtection="1">
      <protection locked="0"/>
    </xf>
    <xf numFmtId="4" fontId="130" fillId="0" borderId="0" xfId="0" applyNumberFormat="1" applyFont="1" applyProtection="1">
      <protection locked="0"/>
    </xf>
    <xf numFmtId="0" fontId="130" fillId="0" borderId="42" xfId="0" applyFont="1" applyBorder="1" applyProtection="1">
      <protection locked="0"/>
    </xf>
    <xf numFmtId="0" fontId="130" fillId="17" borderId="0" xfId="0" applyFont="1" applyFill="1" applyProtection="1">
      <protection locked="0"/>
    </xf>
    <xf numFmtId="1" fontId="130" fillId="0" borderId="0" xfId="0" applyNumberFormat="1" applyFont="1" applyProtection="1">
      <protection locked="0"/>
    </xf>
    <xf numFmtId="10" fontId="130" fillId="0" borderId="0" xfId="0" applyNumberFormat="1" applyFont="1" applyProtection="1">
      <protection locked="0"/>
    </xf>
    <xf numFmtId="0" fontId="130" fillId="14" borderId="0" xfId="0" applyFont="1" applyFill="1" applyProtection="1">
      <protection locked="0"/>
    </xf>
    <xf numFmtId="0" fontId="133" fillId="0" borderId="0" xfId="0" applyFont="1" applyProtection="1">
      <protection locked="0"/>
    </xf>
    <xf numFmtId="49" fontId="131" fillId="0" borderId="0" xfId="0" applyNumberFormat="1" applyFont="1" applyProtection="1">
      <protection locked="0"/>
    </xf>
    <xf numFmtId="0" fontId="0" fillId="16" borderId="135" xfId="0" applyFill="1" applyBorder="1" applyAlignment="1">
      <alignment vertical="center"/>
    </xf>
    <xf numFmtId="0" fontId="2" fillId="7" borderId="142" xfId="0" applyFont="1" applyFill="1" applyBorder="1" applyAlignment="1" applyProtection="1">
      <alignment horizontal="center" vertical="center"/>
      <protection locked="0"/>
    </xf>
    <xf numFmtId="0" fontId="0" fillId="0" borderId="136" xfId="0" applyBorder="1" applyAlignment="1">
      <alignment vertical="center"/>
    </xf>
    <xf numFmtId="0" fontId="95" fillId="20" borderId="0" xfId="7" applyFont="1" applyFill="1" applyAlignment="1">
      <alignment vertical="top" wrapText="1"/>
    </xf>
    <xf numFmtId="0" fontId="100" fillId="7" borderId="0" xfId="0" applyFont="1" applyFill="1"/>
    <xf numFmtId="0" fontId="0" fillId="24" borderId="146" xfId="0" applyFill="1" applyBorder="1"/>
    <xf numFmtId="0" fontId="0" fillId="24" borderId="147" xfId="0" applyFill="1" applyBorder="1"/>
    <xf numFmtId="0" fontId="0" fillId="16" borderId="148" xfId="0" applyFill="1" applyBorder="1" applyAlignment="1">
      <alignment horizontal="left"/>
    </xf>
    <xf numFmtId="0" fontId="0" fillId="24" borderId="147" xfId="0" applyFill="1" applyBorder="1" applyAlignment="1">
      <alignment horizontal="left"/>
    </xf>
    <xf numFmtId="0" fontId="0" fillId="24" borderId="149" xfId="0" applyFill="1" applyBorder="1" applyAlignment="1">
      <alignment horizontal="left"/>
    </xf>
    <xf numFmtId="0" fontId="0" fillId="24" borderId="150" xfId="0" applyFill="1" applyBorder="1"/>
    <xf numFmtId="0" fontId="0" fillId="24" borderId="0" xfId="0" applyFill="1"/>
    <xf numFmtId="0" fontId="0" fillId="16" borderId="151" xfId="0" applyFill="1" applyBorder="1" applyAlignment="1">
      <alignment horizontal="left"/>
    </xf>
    <xf numFmtId="0" fontId="0" fillId="24" borderId="0" xfId="0" applyFill="1" applyAlignment="1">
      <alignment horizontal="left"/>
    </xf>
    <xf numFmtId="0" fontId="0" fillId="24" borderId="152" xfId="0" applyFill="1" applyBorder="1" applyAlignment="1">
      <alignment horizontal="left"/>
    </xf>
    <xf numFmtId="166" fontId="0" fillId="16" borderId="151" xfId="0" applyNumberFormat="1" applyFill="1" applyBorder="1" applyAlignment="1">
      <alignment horizontal="left"/>
    </xf>
    <xf numFmtId="0" fontId="0" fillId="16" borderId="153" xfId="0" applyFill="1" applyBorder="1" applyAlignment="1">
      <alignment horizontal="left"/>
    </xf>
    <xf numFmtId="0" fontId="3" fillId="24" borderId="150" xfId="0" applyFont="1" applyFill="1" applyBorder="1"/>
    <xf numFmtId="4" fontId="0" fillId="16" borderId="151" xfId="0" applyNumberFormat="1" applyFill="1" applyBorder="1" applyAlignment="1">
      <alignment horizontal="left"/>
    </xf>
    <xf numFmtId="0" fontId="3" fillId="24" borderId="0" xfId="0" applyFont="1" applyFill="1"/>
    <xf numFmtId="0" fontId="0" fillId="24" borderId="154" xfId="0" applyFill="1" applyBorder="1"/>
    <xf numFmtId="0" fontId="3" fillId="24" borderId="155" xfId="0" applyFont="1" applyFill="1" applyBorder="1"/>
    <xf numFmtId="0" fontId="0" fillId="24" borderId="155" xfId="0" applyFill="1" applyBorder="1"/>
    <xf numFmtId="14" fontId="0" fillId="16" borderId="156" xfId="0" applyNumberFormat="1" applyFill="1" applyBorder="1" applyAlignment="1">
      <alignment horizontal="left"/>
    </xf>
    <xf numFmtId="0" fontId="0" fillId="24" borderId="155" xfId="0" applyFill="1" applyBorder="1" applyAlignment="1">
      <alignment horizontal="left"/>
    </xf>
    <xf numFmtId="0" fontId="0" fillId="16" borderId="0" xfId="0" applyFill="1" applyAlignment="1">
      <alignment horizontal="left"/>
    </xf>
    <xf numFmtId="0" fontId="2" fillId="17" borderId="157" xfId="0" applyFont="1" applyFill="1" applyBorder="1" applyAlignment="1">
      <alignment horizontal="right"/>
    </xf>
    <xf numFmtId="0" fontId="94" fillId="20" borderId="0" xfId="7" applyFont="1" applyFill="1" applyAlignment="1">
      <alignment vertical="center" wrapText="1"/>
    </xf>
    <xf numFmtId="0" fontId="117" fillId="20" borderId="0" xfId="5" applyFont="1" applyFill="1" applyAlignment="1" applyProtection="1">
      <alignment vertical="top" wrapText="1"/>
    </xf>
    <xf numFmtId="0" fontId="135" fillId="7" borderId="0" xfId="10" applyFont="1" applyFill="1" applyAlignment="1">
      <alignment horizontal="center"/>
    </xf>
    <xf numFmtId="0" fontId="3" fillId="21" borderId="0" xfId="10" applyFill="1"/>
    <xf numFmtId="0" fontId="100" fillId="21" borderId="0" xfId="10" applyFont="1" applyFill="1" applyAlignment="1">
      <alignment horizontal="center" vertical="center"/>
    </xf>
    <xf numFmtId="0" fontId="3" fillId="5" borderId="0" xfId="10" applyFill="1"/>
    <xf numFmtId="0" fontId="3" fillId="26" borderId="0" xfId="10" applyFill="1"/>
    <xf numFmtId="0" fontId="3" fillId="27" borderId="0" xfId="10" applyFill="1"/>
    <xf numFmtId="0" fontId="139" fillId="28" borderId="163" xfId="10" applyFont="1" applyFill="1" applyBorder="1" applyAlignment="1" applyProtection="1">
      <alignment horizontal="center" vertical="center"/>
      <protection locked="0"/>
    </xf>
    <xf numFmtId="0" fontId="143" fillId="7" borderId="0" xfId="10" applyFont="1" applyFill="1" applyAlignment="1">
      <alignment vertical="center"/>
    </xf>
    <xf numFmtId="0" fontId="2" fillId="7" borderId="167" xfId="10" applyFont="1" applyFill="1" applyBorder="1" applyAlignment="1" applyProtection="1">
      <alignment horizontal="center" vertical="center"/>
      <protection locked="0"/>
    </xf>
    <xf numFmtId="0" fontId="144" fillId="7" borderId="0" xfId="10" applyFont="1" applyFill="1" applyAlignment="1">
      <alignment horizontal="center" vertical="center"/>
    </xf>
    <xf numFmtId="0" fontId="146" fillId="29" borderId="168" xfId="10" applyFont="1" applyFill="1" applyBorder="1" applyAlignment="1">
      <alignment vertical="center"/>
    </xf>
    <xf numFmtId="0" fontId="146" fillId="29" borderId="169" xfId="10" applyFont="1" applyFill="1" applyBorder="1" applyAlignment="1">
      <alignment vertical="center"/>
    </xf>
    <xf numFmtId="0" fontId="144" fillId="30" borderId="159" xfId="10" applyFont="1" applyFill="1" applyBorder="1" applyAlignment="1">
      <alignment vertical="center"/>
    </xf>
    <xf numFmtId="0" fontId="137" fillId="31" borderId="0" xfId="10" applyFont="1" applyFill="1" applyAlignment="1">
      <alignment vertical="center"/>
    </xf>
    <xf numFmtId="0" fontId="31" fillId="5" borderId="0" xfId="10" applyFont="1" applyFill="1" applyAlignment="1">
      <alignment vertical="center"/>
    </xf>
    <xf numFmtId="0" fontId="31" fillId="4" borderId="0" xfId="10" applyFont="1" applyFill="1" applyAlignment="1">
      <alignment vertical="center"/>
    </xf>
    <xf numFmtId="0" fontId="31" fillId="0" borderId="0" xfId="10" applyFont="1" applyAlignment="1">
      <alignment vertical="center"/>
    </xf>
    <xf numFmtId="0" fontId="147" fillId="31" borderId="0" xfId="10" applyFont="1" applyFill="1" applyAlignment="1">
      <alignment vertical="center"/>
    </xf>
    <xf numFmtId="0" fontId="3" fillId="5" borderId="0" xfId="10" applyFill="1" applyAlignment="1">
      <alignment vertical="center"/>
    </xf>
    <xf numFmtId="0" fontId="3" fillId="4" borderId="0" xfId="10" applyFill="1" applyAlignment="1">
      <alignment vertical="center"/>
    </xf>
    <xf numFmtId="0" fontId="137" fillId="30" borderId="0" xfId="10" applyFont="1" applyFill="1" applyAlignment="1">
      <alignment vertical="center"/>
    </xf>
    <xf numFmtId="0" fontId="144" fillId="31" borderId="0" xfId="10" applyFont="1" applyFill="1" applyAlignment="1">
      <alignment vertical="center"/>
    </xf>
    <xf numFmtId="0" fontId="3" fillId="30" borderId="0" xfId="10" applyFill="1" applyAlignment="1">
      <alignment vertical="center"/>
    </xf>
    <xf numFmtId="0" fontId="3" fillId="30" borderId="162" xfId="10" applyFill="1" applyBorder="1" applyAlignment="1">
      <alignment vertical="center"/>
    </xf>
    <xf numFmtId="0" fontId="3" fillId="31" borderId="161" xfId="10" applyFill="1" applyBorder="1"/>
    <xf numFmtId="0" fontId="3" fillId="31" borderId="0" xfId="10" applyFill="1"/>
    <xf numFmtId="0" fontId="3" fillId="31" borderId="162" xfId="10" applyFill="1" applyBorder="1"/>
    <xf numFmtId="0" fontId="149" fillId="33" borderId="169" xfId="10" applyFont="1" applyFill="1" applyBorder="1" applyAlignment="1">
      <alignment vertical="center"/>
    </xf>
    <xf numFmtId="0" fontId="149" fillId="33" borderId="170" xfId="10" applyFont="1" applyFill="1" applyBorder="1" applyAlignment="1">
      <alignment vertical="center"/>
    </xf>
    <xf numFmtId="0" fontId="2" fillId="7" borderId="171" xfId="10" applyFont="1" applyFill="1" applyBorder="1" applyAlignment="1" applyProtection="1">
      <alignment horizontal="center" vertical="center"/>
      <protection locked="0"/>
    </xf>
    <xf numFmtId="0" fontId="3" fillId="31" borderId="158" xfId="10" applyFill="1" applyBorder="1"/>
    <xf numFmtId="0" fontId="143" fillId="30" borderId="158" xfId="10" applyFont="1" applyFill="1" applyBorder="1" applyAlignment="1">
      <alignment vertical="center"/>
    </xf>
    <xf numFmtId="0" fontId="57" fillId="34" borderId="167" xfId="10" applyFont="1" applyFill="1" applyBorder="1" applyAlignment="1" applyProtection="1">
      <alignment horizontal="center" vertical="center"/>
      <protection locked="0"/>
    </xf>
    <xf numFmtId="0" fontId="151" fillId="35" borderId="0" xfId="10" applyFont="1" applyFill="1" applyAlignment="1">
      <alignment horizontal="center"/>
    </xf>
    <xf numFmtId="0" fontId="3" fillId="30" borderId="161" xfId="10" applyFill="1" applyBorder="1"/>
    <xf numFmtId="0" fontId="3" fillId="31" borderId="172" xfId="10" applyFill="1" applyBorder="1"/>
    <xf numFmtId="0" fontId="143" fillId="30" borderId="161" xfId="10" applyFont="1" applyFill="1" applyBorder="1" applyAlignment="1">
      <alignment vertical="center"/>
    </xf>
    <xf numFmtId="0" fontId="2" fillId="31" borderId="161" xfId="10" applyFont="1" applyFill="1" applyBorder="1" applyAlignment="1">
      <alignment horizontal="center" vertical="center"/>
    </xf>
    <xf numFmtId="0" fontId="3" fillId="30" borderId="0" xfId="10" applyFill="1"/>
    <xf numFmtId="0" fontId="3" fillId="30" borderId="162" xfId="10" applyFill="1" applyBorder="1"/>
    <xf numFmtId="0" fontId="144" fillId="31" borderId="0" xfId="10" applyFont="1" applyFill="1" applyAlignment="1">
      <alignment horizontal="center"/>
    </xf>
    <xf numFmtId="0" fontId="143" fillId="30" borderId="162" xfId="10" applyFont="1" applyFill="1" applyBorder="1"/>
    <xf numFmtId="0" fontId="2" fillId="31" borderId="0" xfId="10" applyFont="1" applyFill="1"/>
    <xf numFmtId="0" fontId="3" fillId="31" borderId="161" xfId="10" applyFill="1" applyBorder="1" applyAlignment="1">
      <alignment vertical="center"/>
    </xf>
    <xf numFmtId="0" fontId="3" fillId="31" borderId="0" xfId="10" applyFill="1" applyAlignment="1">
      <alignment vertical="center"/>
    </xf>
    <xf numFmtId="0" fontId="152" fillId="31" borderId="0" xfId="10" applyFont="1" applyFill="1" applyAlignment="1">
      <alignment vertical="center"/>
    </xf>
    <xf numFmtId="0" fontId="100" fillId="30" borderId="161" xfId="10" applyFont="1" applyFill="1" applyBorder="1" applyAlignment="1">
      <alignment vertical="center"/>
    </xf>
    <xf numFmtId="0" fontId="143" fillId="30" borderId="0" xfId="10" applyFont="1" applyFill="1" applyAlignment="1">
      <alignment vertical="center"/>
    </xf>
    <xf numFmtId="0" fontId="144" fillId="31" borderId="0" xfId="10" applyFont="1" applyFill="1" applyAlignment="1">
      <alignment horizontal="right" vertical="center"/>
    </xf>
    <xf numFmtId="0" fontId="137" fillId="30" borderId="0" xfId="10" applyFont="1" applyFill="1" applyAlignment="1">
      <alignment horizontal="right" vertical="center"/>
    </xf>
    <xf numFmtId="0" fontId="152" fillId="31" borderId="161" xfId="10" applyFont="1" applyFill="1" applyBorder="1" applyAlignment="1">
      <alignment horizontal="left" vertical="center"/>
    </xf>
    <xf numFmtId="0" fontId="3" fillId="30" borderId="161" xfId="10" applyFill="1" applyBorder="1" applyAlignment="1">
      <alignment vertical="center"/>
    </xf>
    <xf numFmtId="0" fontId="100" fillId="31" borderId="0" xfId="10" applyFont="1" applyFill="1" applyAlignment="1">
      <alignment vertical="center"/>
    </xf>
    <xf numFmtId="0" fontId="144" fillId="31" borderId="0" xfId="10" applyFont="1" applyFill="1" applyAlignment="1">
      <alignment horizontal="right"/>
    </xf>
    <xf numFmtId="0" fontId="137" fillId="30" borderId="161" xfId="10" applyFont="1" applyFill="1" applyBorder="1" applyAlignment="1">
      <alignment horizontal="right"/>
    </xf>
    <xf numFmtId="0" fontId="2" fillId="31" borderId="0" xfId="10" applyFont="1" applyFill="1" applyAlignment="1">
      <alignment vertical="center"/>
    </xf>
    <xf numFmtId="0" fontId="3" fillId="14" borderId="160" xfId="10" applyFill="1" applyBorder="1"/>
    <xf numFmtId="0" fontId="3" fillId="14" borderId="0" xfId="10" applyFill="1" applyAlignment="1">
      <alignment vertical="center"/>
    </xf>
    <xf numFmtId="0" fontId="3" fillId="14" borderId="161" xfId="10" applyFill="1" applyBorder="1"/>
    <xf numFmtId="0" fontId="3" fillId="14" borderId="0" xfId="10" applyFill="1"/>
    <xf numFmtId="0" fontId="143" fillId="14" borderId="0" xfId="10" applyFont="1" applyFill="1" applyAlignment="1">
      <alignment vertical="center"/>
    </xf>
    <xf numFmtId="0" fontId="144" fillId="32" borderId="0" xfId="10" applyFont="1" applyFill="1" applyAlignment="1">
      <alignment horizontal="left"/>
    </xf>
    <xf numFmtId="0" fontId="144" fillId="32" borderId="162" xfId="10" applyFont="1" applyFill="1" applyBorder="1" applyAlignment="1">
      <alignment horizontal="left"/>
    </xf>
    <xf numFmtId="0" fontId="3" fillId="14" borderId="164" xfId="10" applyFill="1" applyBorder="1"/>
    <xf numFmtId="0" fontId="3" fillId="14" borderId="165" xfId="10" applyFill="1" applyBorder="1"/>
    <xf numFmtId="0" fontId="143" fillId="30" borderId="161" xfId="10" applyFont="1" applyFill="1" applyBorder="1"/>
    <xf numFmtId="0" fontId="143" fillId="30" borderId="0" xfId="10" applyFont="1" applyFill="1"/>
    <xf numFmtId="0" fontId="141" fillId="30" borderId="0" xfId="10" applyFont="1" applyFill="1" applyAlignment="1">
      <alignment horizontal="center"/>
    </xf>
    <xf numFmtId="0" fontId="3" fillId="30" borderId="0" xfId="10" applyFill="1" applyAlignment="1">
      <alignment horizontal="center"/>
    </xf>
    <xf numFmtId="0" fontId="141" fillId="31" borderId="0" xfId="10" applyFont="1" applyFill="1" applyAlignment="1">
      <alignment horizontal="center"/>
    </xf>
    <xf numFmtId="0" fontId="140" fillId="31" borderId="0" xfId="10" applyFont="1" applyFill="1" applyAlignment="1">
      <alignment horizontal="left"/>
    </xf>
    <xf numFmtId="0" fontId="140" fillId="31" borderId="162" xfId="10" applyFont="1" applyFill="1" applyBorder="1" applyAlignment="1">
      <alignment horizontal="left"/>
    </xf>
    <xf numFmtId="0" fontId="3" fillId="30" borderId="161" xfId="10" applyFill="1" applyBorder="1" applyAlignment="1">
      <alignment horizontal="center" vertical="center"/>
    </xf>
    <xf numFmtId="0" fontId="156" fillId="31" borderId="161" xfId="10" applyFont="1" applyFill="1" applyBorder="1" applyAlignment="1">
      <alignment horizontal="center"/>
    </xf>
    <xf numFmtId="0" fontId="156" fillId="31" borderId="0" xfId="10" applyFont="1" applyFill="1" applyAlignment="1">
      <alignment horizontal="center"/>
    </xf>
    <xf numFmtId="0" fontId="156" fillId="31" borderId="164" xfId="10" applyFont="1" applyFill="1" applyBorder="1" applyAlignment="1">
      <alignment horizontal="center"/>
    </xf>
    <xf numFmtId="0" fontId="156" fillId="31" borderId="165" xfId="10" applyFont="1" applyFill="1" applyBorder="1" applyAlignment="1">
      <alignment horizontal="center"/>
    </xf>
    <xf numFmtId="0" fontId="3" fillId="30" borderId="165" xfId="10" applyFill="1" applyBorder="1"/>
    <xf numFmtId="0" fontId="3" fillId="30" borderId="166" xfId="10" applyFill="1" applyBorder="1"/>
    <xf numFmtId="0" fontId="3" fillId="7" borderId="0" xfId="10" applyFill="1" applyProtection="1">
      <protection locked="0"/>
    </xf>
    <xf numFmtId="0" fontId="36" fillId="7" borderId="0" xfId="10" applyFont="1" applyFill="1" applyAlignment="1">
      <alignment horizontal="center"/>
    </xf>
    <xf numFmtId="0" fontId="3" fillId="26" borderId="0" xfId="10" applyFill="1" applyProtection="1">
      <protection locked="0"/>
    </xf>
    <xf numFmtId="0" fontId="57" fillId="28" borderId="181" xfId="10" applyFont="1" applyFill="1" applyBorder="1" applyAlignment="1" applyProtection="1">
      <alignment horizontal="center" vertical="center"/>
      <protection locked="0"/>
    </xf>
    <xf numFmtId="0" fontId="155" fillId="7" borderId="0" xfId="10" applyFont="1" applyFill="1" applyAlignment="1">
      <alignment horizontal="center" vertical="center"/>
    </xf>
    <xf numFmtId="0" fontId="3" fillId="16" borderId="0" xfId="10" applyFill="1" applyAlignment="1">
      <alignment vertical="center"/>
    </xf>
    <xf numFmtId="0" fontId="155" fillId="16" borderId="0" xfId="10" applyFont="1" applyFill="1" applyAlignment="1">
      <alignment vertical="center"/>
    </xf>
    <xf numFmtId="0" fontId="31" fillId="21" borderId="0" xfId="10" applyFont="1" applyFill="1" applyAlignment="1">
      <alignment vertical="center"/>
    </xf>
    <xf numFmtId="0" fontId="147" fillId="21" borderId="0" xfId="10" applyFont="1" applyFill="1" applyAlignment="1">
      <alignment vertical="center"/>
    </xf>
    <xf numFmtId="0" fontId="31" fillId="16" borderId="0" xfId="10" applyFont="1" applyFill="1" applyAlignment="1">
      <alignment vertical="center"/>
    </xf>
    <xf numFmtId="0" fontId="155" fillId="21" borderId="0" xfId="10" applyFont="1" applyFill="1" applyAlignment="1">
      <alignment vertical="center"/>
    </xf>
    <xf numFmtId="0" fontId="3" fillId="16" borderId="0" xfId="10" applyFill="1" applyAlignment="1">
      <alignment horizontal="center" vertical="center"/>
    </xf>
    <xf numFmtId="0" fontId="3" fillId="21" borderId="176" xfId="10" applyFill="1" applyBorder="1"/>
    <xf numFmtId="0" fontId="3" fillId="21" borderId="177" xfId="10" applyFill="1" applyBorder="1"/>
    <xf numFmtId="0" fontId="3" fillId="19" borderId="183" xfId="10" applyFill="1" applyBorder="1" applyAlignment="1">
      <alignment vertical="center"/>
    </xf>
    <xf numFmtId="0" fontId="2" fillId="21" borderId="181" xfId="10" applyFont="1" applyFill="1" applyBorder="1" applyAlignment="1" applyProtection="1">
      <alignment horizontal="center" vertical="center"/>
      <protection locked="0"/>
    </xf>
    <xf numFmtId="0" fontId="3" fillId="21" borderId="174" xfId="10" applyFill="1" applyBorder="1"/>
    <xf numFmtId="0" fontId="3" fillId="16" borderId="0" xfId="10" applyFill="1"/>
    <xf numFmtId="0" fontId="3" fillId="16" borderId="177" xfId="10" applyFill="1" applyBorder="1"/>
    <xf numFmtId="0" fontId="61" fillId="28" borderId="0" xfId="10" applyFont="1" applyFill="1" applyAlignment="1">
      <alignment horizontal="center"/>
    </xf>
    <xf numFmtId="0" fontId="3" fillId="21" borderId="162" xfId="10" applyFill="1" applyBorder="1"/>
    <xf numFmtId="0" fontId="3" fillId="21" borderId="172" xfId="10" applyFill="1" applyBorder="1"/>
    <xf numFmtId="0" fontId="2" fillId="21" borderId="161" xfId="10" applyFont="1" applyFill="1" applyBorder="1" applyAlignment="1">
      <alignment horizontal="center" vertical="center"/>
    </xf>
    <xf numFmtId="0" fontId="3" fillId="16" borderId="177" xfId="10" applyFill="1" applyBorder="1" applyAlignment="1">
      <alignment vertical="center"/>
    </xf>
    <xf numFmtId="0" fontId="155" fillId="21" borderId="0" xfId="10" applyFont="1" applyFill="1" applyAlignment="1">
      <alignment horizontal="center"/>
    </xf>
    <xf numFmtId="0" fontId="2" fillId="21" borderId="0" xfId="10" applyFont="1" applyFill="1"/>
    <xf numFmtId="0" fontId="3" fillId="21" borderId="176" xfId="10" applyFill="1" applyBorder="1" applyAlignment="1">
      <alignment vertical="center"/>
    </xf>
    <xf numFmtId="0" fontId="3" fillId="21" borderId="0" xfId="10" applyFill="1" applyAlignment="1">
      <alignment vertical="center"/>
    </xf>
    <xf numFmtId="0" fontId="73" fillId="21" borderId="0" xfId="10" applyFont="1" applyFill="1" applyAlignment="1">
      <alignment vertical="center"/>
    </xf>
    <xf numFmtId="0" fontId="3" fillId="16" borderId="176" xfId="10" applyFill="1" applyBorder="1"/>
    <xf numFmtId="0" fontId="155" fillId="21" borderId="0" xfId="10" applyFont="1" applyFill="1" applyAlignment="1">
      <alignment horizontal="right" vertical="center"/>
    </xf>
    <xf numFmtId="0" fontId="31" fillId="16" borderId="0" xfId="10" applyFont="1" applyFill="1" applyAlignment="1">
      <alignment horizontal="right" vertical="center"/>
    </xf>
    <xf numFmtId="0" fontId="3" fillId="16" borderId="0" xfId="10" applyFill="1" applyAlignment="1">
      <alignment horizontal="center"/>
    </xf>
    <xf numFmtId="0" fontId="73" fillId="21" borderId="176" xfId="10" applyFont="1" applyFill="1" applyBorder="1" applyAlignment="1">
      <alignment horizontal="left" vertical="center"/>
    </xf>
    <xf numFmtId="0" fontId="2" fillId="21" borderId="0" xfId="10" applyFont="1" applyFill="1" applyAlignment="1">
      <alignment vertical="center"/>
    </xf>
    <xf numFmtId="0" fontId="155" fillId="21" borderId="0" xfId="10" applyFont="1" applyFill="1" applyAlignment="1">
      <alignment horizontal="right"/>
    </xf>
    <xf numFmtId="0" fontId="31" fillId="16" borderId="176" xfId="10" applyFont="1" applyFill="1" applyBorder="1" applyAlignment="1">
      <alignment horizontal="right"/>
    </xf>
    <xf numFmtId="0" fontId="3" fillId="16" borderId="176" xfId="10" applyFill="1" applyBorder="1" applyAlignment="1">
      <alignment vertical="center"/>
    </xf>
    <xf numFmtId="0" fontId="2" fillId="16" borderId="176" xfId="10" applyFont="1" applyFill="1" applyBorder="1" applyAlignment="1">
      <alignment vertical="center"/>
    </xf>
    <xf numFmtId="0" fontId="3" fillId="16" borderId="179" xfId="10" applyFill="1" applyBorder="1" applyAlignment="1">
      <alignment vertical="center"/>
    </xf>
    <xf numFmtId="0" fontId="3" fillId="16" borderId="180" xfId="10" applyFill="1" applyBorder="1" applyAlignment="1">
      <alignment vertical="center"/>
    </xf>
    <xf numFmtId="0" fontId="3" fillId="38" borderId="173" xfId="10" applyFill="1" applyBorder="1"/>
    <xf numFmtId="0" fontId="3" fillId="38" borderId="174" xfId="10" applyFill="1" applyBorder="1"/>
    <xf numFmtId="0" fontId="3" fillId="38" borderId="175" xfId="10" applyFill="1" applyBorder="1"/>
    <xf numFmtId="0" fontId="3" fillId="38" borderId="0" xfId="10" applyFill="1"/>
    <xf numFmtId="0" fontId="3" fillId="38" borderId="0" xfId="10" applyFill="1" applyAlignment="1">
      <alignment vertical="center"/>
    </xf>
    <xf numFmtId="0" fontId="3" fillId="21" borderId="178" xfId="10" applyFill="1" applyBorder="1" applyAlignment="1">
      <alignment vertical="center"/>
    </xf>
    <xf numFmtId="0" fontId="3" fillId="21" borderId="179" xfId="10" applyFill="1" applyBorder="1" applyAlignment="1">
      <alignment vertical="center"/>
    </xf>
    <xf numFmtId="0" fontId="3" fillId="38" borderId="178" xfId="10" applyFill="1" applyBorder="1"/>
    <xf numFmtId="0" fontId="11" fillId="16" borderId="0" xfId="10" applyFont="1" applyFill="1" applyAlignment="1">
      <alignment horizontal="center"/>
    </xf>
    <xf numFmtId="0" fontId="11" fillId="21" borderId="0" xfId="10" applyFont="1" applyFill="1" applyAlignment="1">
      <alignment horizontal="center"/>
    </xf>
    <xf numFmtId="0" fontId="58" fillId="21" borderId="0" xfId="10" applyFont="1" applyFill="1" applyAlignment="1">
      <alignment horizontal="left"/>
    </xf>
    <xf numFmtId="0" fontId="159" fillId="21" borderId="176" xfId="10" applyFont="1" applyFill="1" applyBorder="1" applyAlignment="1">
      <alignment horizontal="center"/>
    </xf>
    <xf numFmtId="0" fontId="159" fillId="21" borderId="0" xfId="10" applyFont="1" applyFill="1" applyAlignment="1">
      <alignment horizontal="center"/>
    </xf>
    <xf numFmtId="0" fontId="159" fillId="21" borderId="178" xfId="10" applyFont="1" applyFill="1" applyBorder="1" applyAlignment="1">
      <alignment horizontal="center"/>
    </xf>
    <xf numFmtId="0" fontId="159" fillId="21" borderId="179" xfId="10" applyFont="1" applyFill="1" applyBorder="1" applyAlignment="1">
      <alignment horizontal="center"/>
    </xf>
    <xf numFmtId="0" fontId="3" fillId="16" borderId="179" xfId="10" applyFill="1" applyBorder="1"/>
    <xf numFmtId="0" fontId="3" fillId="16" borderId="180" xfId="10" applyFill="1" applyBorder="1"/>
    <xf numFmtId="0" fontId="3" fillId="38" borderId="174" xfId="10" applyFill="1" applyBorder="1" applyAlignment="1">
      <alignment vertical="center"/>
    </xf>
    <xf numFmtId="0" fontId="155" fillId="39" borderId="174" xfId="10" applyFont="1" applyFill="1" applyBorder="1" applyAlignment="1">
      <alignment horizontal="left"/>
    </xf>
    <xf numFmtId="0" fontId="155" fillId="39" borderId="175" xfId="10" applyFont="1" applyFill="1" applyBorder="1" applyAlignment="1">
      <alignment horizontal="left"/>
    </xf>
    <xf numFmtId="0" fontId="3" fillId="38" borderId="176" xfId="10" applyFill="1" applyBorder="1"/>
    <xf numFmtId="0" fontId="155" fillId="39" borderId="0" xfId="10" applyFont="1" applyFill="1" applyAlignment="1">
      <alignment horizontal="left"/>
    </xf>
    <xf numFmtId="0" fontId="155" fillId="39" borderId="177" xfId="10" applyFont="1" applyFill="1" applyBorder="1" applyAlignment="1">
      <alignment horizontal="left"/>
    </xf>
    <xf numFmtId="0" fontId="0" fillId="0" borderId="136" xfId="0" applyBorder="1" applyAlignment="1">
      <alignment vertical="top" wrapText="1"/>
    </xf>
    <xf numFmtId="0" fontId="160" fillId="0" borderId="136" xfId="0" applyFont="1" applyBorder="1" applyAlignment="1">
      <alignment vertical="top" wrapText="1"/>
    </xf>
    <xf numFmtId="0" fontId="0" fillId="0" borderId="191" xfId="0" applyBorder="1" applyAlignment="1">
      <alignment vertical="top" wrapText="1"/>
    </xf>
    <xf numFmtId="0" fontId="0" fillId="0" borderId="125" xfId="0" applyBorder="1" applyAlignment="1">
      <alignment vertical="top" wrapText="1"/>
    </xf>
    <xf numFmtId="0" fontId="30" fillId="3" borderId="0" xfId="10" applyFont="1" applyFill="1" applyAlignment="1">
      <alignment horizontal="center" wrapText="1"/>
    </xf>
    <xf numFmtId="0" fontId="117" fillId="6" borderId="0" xfId="5" applyFont="1" applyFill="1" applyAlignment="1" applyProtection="1">
      <alignment horizontal="center" wrapText="1"/>
    </xf>
    <xf numFmtId="0" fontId="117" fillId="6" borderId="0" xfId="10" applyFont="1" applyFill="1" applyAlignment="1">
      <alignment horizontal="center" wrapText="1"/>
    </xf>
    <xf numFmtId="0" fontId="3" fillId="2" borderId="0" xfId="10" applyFill="1" applyAlignment="1">
      <alignment vertical="top" wrapText="1"/>
    </xf>
    <xf numFmtId="0" fontId="10" fillId="3" borderId="0" xfId="10" applyFont="1" applyFill="1" applyAlignment="1">
      <alignment horizontal="center" wrapText="1"/>
    </xf>
    <xf numFmtId="0" fontId="30" fillId="3" borderId="0" xfId="10" applyFont="1" applyFill="1" applyAlignment="1">
      <alignment horizontal="left" vertical="center" wrapText="1"/>
    </xf>
    <xf numFmtId="0" fontId="116" fillId="3" borderId="0" xfId="10" applyFont="1" applyFill="1" applyAlignment="1">
      <alignment horizontal="left" vertical="center" wrapText="1"/>
    </xf>
    <xf numFmtId="0" fontId="83" fillId="3" borderId="0" xfId="0" applyFont="1" applyFill="1" applyAlignment="1">
      <alignment horizontal="left" wrapText="1" shrinkToFit="1"/>
    </xf>
    <xf numFmtId="0" fontId="29" fillId="3" borderId="0" xfId="10" applyFont="1" applyFill="1" applyAlignment="1">
      <alignment horizontal="center" wrapText="1"/>
    </xf>
    <xf numFmtId="0" fontId="77" fillId="2" borderId="0" xfId="10" applyFont="1" applyFill="1" applyAlignment="1">
      <alignment vertical="center"/>
    </xf>
    <xf numFmtId="0" fontId="64" fillId="3" borderId="0" xfId="10" applyFont="1" applyFill="1" applyAlignment="1">
      <alignment horizontal="center" wrapText="1"/>
    </xf>
    <xf numFmtId="0" fontId="113" fillId="3" borderId="0" xfId="10" applyFont="1" applyFill="1" applyAlignment="1">
      <alignment horizontal="center"/>
    </xf>
    <xf numFmtId="0" fontId="30" fillId="3" borderId="0" xfId="0" applyFont="1" applyFill="1" applyAlignment="1">
      <alignment horizontal="center" vertical="center" wrapText="1"/>
    </xf>
    <xf numFmtId="0" fontId="122" fillId="3" borderId="0" xfId="0" applyFont="1" applyFill="1" applyAlignment="1">
      <alignment horizontal="center" vertical="center" wrapText="1"/>
    </xf>
    <xf numFmtId="0" fontId="83" fillId="0" borderId="0" xfId="10" applyFont="1" applyAlignment="1">
      <alignment horizontal="left" vertical="center" wrapText="1"/>
    </xf>
    <xf numFmtId="0" fontId="113" fillId="3" borderId="0" xfId="10" applyFont="1" applyFill="1" applyAlignment="1">
      <alignment horizontal="left" vertical="center" wrapText="1"/>
    </xf>
    <xf numFmtId="0" fontId="65" fillId="20" borderId="0" xfId="7" applyFont="1" applyFill="1"/>
    <xf numFmtId="0" fontId="5" fillId="20" borderId="0" xfId="7" applyFill="1"/>
    <xf numFmtId="0" fontId="0" fillId="13" borderId="0" xfId="0" applyFill="1"/>
    <xf numFmtId="0" fontId="0" fillId="0" borderId="0" xfId="0"/>
    <xf numFmtId="0" fontId="69" fillId="7" borderId="0" xfId="0" applyFont="1" applyFill="1" applyAlignment="1">
      <alignment horizontal="center" vertical="center"/>
    </xf>
    <xf numFmtId="0" fontId="69" fillId="7" borderId="65" xfId="0" applyFont="1" applyFill="1" applyBorder="1" applyAlignment="1">
      <alignment vertical="center"/>
    </xf>
    <xf numFmtId="0" fontId="0" fillId="0" borderId="66" xfId="0" applyBorder="1" applyAlignment="1">
      <alignment vertical="center"/>
    </xf>
    <xf numFmtId="0" fontId="79" fillId="7" borderId="52" xfId="0" applyFont="1" applyFill="1" applyBorder="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53" xfId="0" applyFont="1" applyBorder="1" applyAlignment="1" applyProtection="1">
      <alignment horizontal="center" vertical="center"/>
      <protection locked="0"/>
    </xf>
    <xf numFmtId="0" fontId="72" fillId="7" borderId="0" xfId="0" applyFont="1" applyFill="1" applyAlignment="1">
      <alignment horizontal="center" vertical="center"/>
    </xf>
    <xf numFmtId="0" fontId="0" fillId="0" borderId="0" xfId="0" applyAlignment="1">
      <alignment horizontal="center" vertical="center"/>
    </xf>
    <xf numFmtId="0" fontId="80" fillId="7" borderId="0" xfId="0" applyFont="1" applyFill="1" applyAlignment="1">
      <alignment horizontal="center" vertical="center"/>
    </xf>
    <xf numFmtId="0" fontId="3" fillId="12" borderId="52" xfId="0" applyFont="1" applyFill="1" applyBorder="1" applyAlignment="1" applyProtection="1">
      <alignment vertical="top"/>
      <protection locked="0"/>
    </xf>
    <xf numFmtId="0" fontId="0" fillId="12" borderId="52" xfId="0" applyFill="1" applyBorder="1" applyAlignment="1" applyProtection="1">
      <alignment vertical="top"/>
      <protection locked="0"/>
    </xf>
    <xf numFmtId="0" fontId="0" fillId="11" borderId="67" xfId="0" applyFill="1" applyBorder="1" applyAlignment="1" applyProtection="1">
      <alignment vertical="top"/>
      <protection locked="0"/>
    </xf>
    <xf numFmtId="0" fontId="0" fillId="11" borderId="53" xfId="0" applyFill="1" applyBorder="1" applyAlignment="1" applyProtection="1">
      <alignment vertical="top"/>
      <protection locked="0"/>
    </xf>
    <xf numFmtId="0" fontId="15" fillId="3" borderId="0" xfId="0" applyFont="1" applyFill="1" applyAlignment="1">
      <alignment horizontal="right"/>
    </xf>
    <xf numFmtId="0" fontId="11" fillId="0" borderId="0" xfId="0" applyFont="1" applyAlignment="1">
      <alignment horizontal="right"/>
    </xf>
    <xf numFmtId="49" fontId="13" fillId="3" borderId="0" xfId="0" applyNumberFormat="1" applyFont="1" applyFill="1" applyAlignment="1">
      <alignment horizontal="left" vertical="top"/>
    </xf>
    <xf numFmtId="49" fontId="15" fillId="3" borderId="0" xfId="0" applyNumberFormat="1" applyFont="1" applyFill="1" applyAlignment="1">
      <alignment horizontal="left"/>
    </xf>
    <xf numFmtId="0" fontId="0" fillId="0" borderId="26" xfId="0" applyBorder="1" applyAlignment="1" applyProtection="1">
      <alignment vertical="center"/>
      <protection locked="0"/>
    </xf>
    <xf numFmtId="0" fontId="0" fillId="0" borderId="69" xfId="0" applyBorder="1" applyAlignment="1" applyProtection="1">
      <alignment vertical="center"/>
      <protection locked="0"/>
    </xf>
    <xf numFmtId="0" fontId="11"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7" fillId="3" borderId="0" xfId="0" applyFont="1" applyFill="1" applyAlignment="1">
      <alignment horizontal="center"/>
    </xf>
    <xf numFmtId="0" fontId="12" fillId="0" borderId="0" xfId="0" applyFont="1" applyAlignment="1">
      <alignment horizontal="center"/>
    </xf>
    <xf numFmtId="0" fontId="5" fillId="3" borderId="37" xfId="0" applyFont="1" applyFill="1" applyBorder="1"/>
    <xf numFmtId="0" fontId="0" fillId="0" borderId="37" xfId="0" applyBorder="1"/>
    <xf numFmtId="0" fontId="5" fillId="3" borderId="0" xfId="0" applyFont="1" applyFill="1"/>
    <xf numFmtId="0" fontId="5" fillId="2" borderId="26"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69" xfId="0" applyFill="1" applyBorder="1" applyAlignment="1" applyProtection="1">
      <alignment horizontal="left"/>
      <protection locked="0"/>
    </xf>
    <xf numFmtId="0" fontId="3" fillId="2" borderId="26" xfId="5" applyFont="1" applyFill="1" applyBorder="1" applyAlignment="1" applyProtection="1">
      <alignment horizontal="left"/>
    </xf>
    <xf numFmtId="0" fontId="5" fillId="2" borderId="23" xfId="0" applyFont="1" applyFill="1" applyBorder="1" applyAlignment="1">
      <alignment horizontal="left"/>
    </xf>
    <xf numFmtId="0" fontId="26" fillId="7" borderId="23" xfId="0" applyFont="1" applyFill="1" applyBorder="1" applyAlignment="1">
      <alignment horizontal="left"/>
    </xf>
    <xf numFmtId="0" fontId="26" fillId="7" borderId="69" xfId="0" applyFont="1" applyFill="1" applyBorder="1" applyAlignment="1">
      <alignment horizontal="left"/>
    </xf>
    <xf numFmtId="0" fontId="8" fillId="3" borderId="0" xfId="0" applyFont="1" applyFill="1"/>
    <xf numFmtId="0" fontId="12" fillId="3" borderId="34" xfId="0" applyFont="1" applyFill="1" applyBorder="1" applyAlignment="1">
      <alignment horizontal="center"/>
    </xf>
    <xf numFmtId="0" fontId="12" fillId="3" borderId="0" xfId="0" applyFont="1" applyFill="1" applyAlignment="1">
      <alignment horizontal="center"/>
    </xf>
    <xf numFmtId="0" fontId="8" fillId="3" borderId="23" xfId="0" applyFont="1" applyFill="1" applyBorder="1"/>
    <xf numFmtId="0" fontId="0" fillId="0" borderId="23" xfId="0" applyBorder="1"/>
    <xf numFmtId="0" fontId="8" fillId="3" borderId="23" xfId="0" applyFont="1" applyFill="1" applyBorder="1" applyAlignment="1">
      <alignment horizontal="left"/>
    </xf>
    <xf numFmtId="0" fontId="8" fillId="3" borderId="0" xfId="0" applyFont="1" applyFill="1" applyAlignment="1">
      <alignment horizontal="left"/>
    </xf>
    <xf numFmtId="0" fontId="8" fillId="3" borderId="72" xfId="0" applyFont="1" applyFill="1" applyBorder="1" applyAlignment="1">
      <alignment horizontal="center"/>
    </xf>
    <xf numFmtId="0" fontId="0" fillId="0" borderId="25" xfId="0" applyBorder="1"/>
    <xf numFmtId="0" fontId="0" fillId="0" borderId="73" xfId="0" applyBorder="1"/>
    <xf numFmtId="0" fontId="0" fillId="0" borderId="34" xfId="0" applyBorder="1"/>
    <xf numFmtId="0" fontId="0" fillId="0" borderId="47" xfId="0" applyBorder="1"/>
    <xf numFmtId="0" fontId="0" fillId="0" borderId="42" xfId="0" applyBorder="1"/>
    <xf numFmtId="0" fontId="0" fillId="0" borderId="74" xfId="0" applyBorder="1"/>
    <xf numFmtId="0" fontId="6" fillId="2" borderId="22" xfId="0" applyFont="1" applyFill="1" applyBorder="1" applyAlignment="1" applyProtection="1">
      <alignment horizontal="center"/>
      <protection locked="0"/>
    </xf>
    <xf numFmtId="0" fontId="12" fillId="0" borderId="22" xfId="0" applyFont="1" applyBorder="1" applyAlignment="1" applyProtection="1">
      <alignment horizontal="center"/>
      <protection locked="0"/>
    </xf>
    <xf numFmtId="0" fontId="12" fillId="0" borderId="68" xfId="0" applyFont="1" applyBorder="1" applyAlignment="1" applyProtection="1">
      <alignment horizontal="center"/>
      <protection locked="0"/>
    </xf>
    <xf numFmtId="0" fontId="2" fillId="0" borderId="68" xfId="0" applyFont="1" applyBorder="1" applyAlignment="1" applyProtection="1">
      <alignment horizontal="center"/>
      <protection locked="0"/>
    </xf>
    <xf numFmtId="0" fontId="20" fillId="7" borderId="22" xfId="0" applyFont="1" applyFill="1" applyBorder="1" applyAlignment="1" applyProtection="1">
      <alignment horizontal="center"/>
      <protection locked="0"/>
    </xf>
    <xf numFmtId="0" fontId="20" fillId="0" borderId="22"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8" fillId="2" borderId="33" xfId="0" applyFont="1" applyFill="1" applyBorder="1" applyAlignment="1">
      <alignment vertical="top" wrapText="1"/>
    </xf>
    <xf numFmtId="0" fontId="0" fillId="0" borderId="22" xfId="0" applyBorder="1" applyAlignment="1">
      <alignment vertical="top" wrapText="1"/>
    </xf>
    <xf numFmtId="0" fontId="5" fillId="2" borderId="22" xfId="0" applyFont="1" applyFill="1" applyBorder="1" applyAlignment="1" applyProtection="1">
      <alignment horizontal="center"/>
      <protection locked="0"/>
    </xf>
    <xf numFmtId="0" fontId="0" fillId="0" borderId="70" xfId="0" applyBorder="1" applyProtection="1">
      <protection locked="0"/>
    </xf>
    <xf numFmtId="0" fontId="0" fillId="0" borderId="71" xfId="0" applyBorder="1" applyProtection="1">
      <protection locked="0"/>
    </xf>
    <xf numFmtId="0" fontId="25" fillId="7" borderId="24" xfId="0" applyFont="1" applyFill="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4" xfId="0" applyFont="1" applyBorder="1" applyAlignment="1" applyProtection="1">
      <alignment horizontal="center"/>
      <protection locked="0"/>
    </xf>
    <xf numFmtId="0" fontId="5" fillId="2" borderId="24" xfId="0" applyFont="1" applyFill="1" applyBorder="1" applyAlignment="1" applyProtection="1">
      <alignment horizontal="center"/>
      <protection locked="0"/>
    </xf>
    <xf numFmtId="0" fontId="26" fillId="0" borderId="24" xfId="0" applyFont="1" applyBorder="1" applyAlignment="1" applyProtection="1">
      <alignment horizontal="center"/>
      <protection locked="0"/>
    </xf>
    <xf numFmtId="0" fontId="26" fillId="0" borderId="57" xfId="0" applyFont="1" applyBorder="1" applyAlignment="1" applyProtection="1">
      <alignment horizontal="center"/>
      <protection locked="0"/>
    </xf>
    <xf numFmtId="0" fontId="0" fillId="0" borderId="22" xfId="0" applyBorder="1" applyProtection="1">
      <protection locked="0"/>
    </xf>
    <xf numFmtId="0" fontId="0" fillId="0" borderId="68" xfId="0" applyBorder="1" applyProtection="1">
      <protection locked="0"/>
    </xf>
    <xf numFmtId="0" fontId="6" fillId="3" borderId="40" xfId="0" applyFont="1" applyFill="1" applyBorder="1"/>
    <xf numFmtId="0" fontId="0" fillId="0" borderId="40" xfId="0" applyBorder="1"/>
    <xf numFmtId="0" fontId="6" fillId="3" borderId="0" xfId="0" applyFont="1" applyFill="1" applyAlignment="1">
      <alignment horizontal="center"/>
    </xf>
    <xf numFmtId="0" fontId="5" fillId="2" borderId="26" xfId="0" applyFont="1" applyFill="1" applyBorder="1" applyAlignment="1">
      <alignment horizontal="left"/>
    </xf>
    <xf numFmtId="0" fontId="5" fillId="2" borderId="69" xfId="0" applyFont="1" applyFill="1" applyBorder="1" applyAlignment="1">
      <alignment horizontal="left"/>
    </xf>
    <xf numFmtId="0" fontId="8" fillId="2" borderId="3" xfId="0" applyFont="1" applyFill="1" applyBorder="1" applyAlignment="1">
      <alignment horizontal="left" wrapText="1"/>
    </xf>
    <xf numFmtId="0" fontId="0" fillId="0" borderId="7" xfId="0" applyBorder="1"/>
    <xf numFmtId="49" fontId="5" fillId="2" borderId="24" xfId="0" applyNumberFormat="1" applyFont="1" applyFill="1" applyBorder="1" applyAlignment="1" applyProtection="1">
      <alignment horizontal="center"/>
      <protection locked="0"/>
    </xf>
    <xf numFmtId="49" fontId="13" fillId="3" borderId="0" xfId="0" applyNumberFormat="1" applyFont="1" applyFill="1" applyAlignment="1">
      <alignment horizontal="left" vertical="center" wrapText="1"/>
    </xf>
    <xf numFmtId="0" fontId="0" fillId="0" borderId="0" xfId="0" applyAlignment="1">
      <alignment vertical="center" wrapText="1"/>
    </xf>
    <xf numFmtId="0" fontId="13" fillId="6" borderId="0" xfId="0" applyFont="1" applyFill="1" applyAlignment="1">
      <alignment horizontal="center"/>
    </xf>
    <xf numFmtId="0" fontId="0" fillId="6" borderId="0" xfId="0" applyFill="1" applyAlignment="1">
      <alignment horizontal="center"/>
    </xf>
    <xf numFmtId="0" fontId="6" fillId="3" borderId="0" xfId="0" applyFont="1" applyFill="1" applyAlignment="1">
      <alignment horizontal="center" vertical="center"/>
    </xf>
    <xf numFmtId="0" fontId="0" fillId="6" borderId="0" xfId="0" applyFill="1" applyAlignment="1">
      <alignment horizontal="center" vertical="center"/>
    </xf>
    <xf numFmtId="0" fontId="22" fillId="3" borderId="0" xfId="0" applyFont="1" applyFill="1" applyAlignment="1">
      <alignment horizontal="center"/>
    </xf>
    <xf numFmtId="0" fontId="0" fillId="0" borderId="0" xfId="0" applyAlignment="1">
      <alignment horizontal="center"/>
    </xf>
    <xf numFmtId="0" fontId="10" fillId="3" borderId="0" xfId="0" applyFont="1" applyFill="1" applyAlignment="1">
      <alignment horizontal="center"/>
    </xf>
    <xf numFmtId="0" fontId="20"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27" fillId="6" borderId="34" xfId="0" applyFont="1" applyFill="1" applyBorder="1" applyAlignment="1">
      <alignment horizontal="center" vertical="center"/>
    </xf>
    <xf numFmtId="0" fontId="27" fillId="6" borderId="37" xfId="0" applyFont="1" applyFill="1" applyBorder="1" applyAlignment="1">
      <alignment horizontal="center" vertical="center"/>
    </xf>
    <xf numFmtId="0" fontId="8"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5" fillId="2" borderId="26" xfId="0" applyNumberFormat="1" applyFont="1" applyFill="1" applyBorder="1" applyAlignment="1" applyProtection="1">
      <alignment horizontal="center"/>
      <protection locked="0"/>
    </xf>
    <xf numFmtId="0" fontId="0" fillId="2" borderId="69" xfId="0" applyFill="1" applyBorder="1" applyAlignment="1" applyProtection="1">
      <alignment horizontal="center"/>
      <protection locked="0"/>
    </xf>
    <xf numFmtId="14" fontId="13" fillId="3" borderId="0" xfId="0" applyNumberFormat="1" applyFont="1" applyFill="1" applyAlignment="1">
      <alignment horizontal="right" wrapText="1"/>
    </xf>
    <xf numFmtId="0" fontId="0" fillId="6" borderId="0" xfId="0" applyFill="1" applyAlignment="1">
      <alignment wrapText="1"/>
    </xf>
    <xf numFmtId="49" fontId="52" fillId="2" borderId="24" xfId="5"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5" fillId="2" borderId="24" xfId="0" applyNumberFormat="1" applyFont="1" applyFill="1" applyBorder="1" applyAlignment="1" applyProtection="1">
      <alignment horizontal="center" wrapText="1"/>
      <protection locked="0"/>
    </xf>
    <xf numFmtId="0" fontId="6" fillId="3" borderId="40" xfId="0" applyFont="1" applyFill="1" applyBorder="1" applyAlignment="1">
      <alignment horizontal="center"/>
    </xf>
    <xf numFmtId="0" fontId="0" fillId="0" borderId="40" xfId="0" applyBorder="1" applyAlignment="1">
      <alignment horizontal="center"/>
    </xf>
    <xf numFmtId="0" fontId="25" fillId="6" borderId="0" xfId="0" applyFont="1" applyFill="1"/>
    <xf numFmtId="0" fontId="13" fillId="3" borderId="70" xfId="0" applyFont="1" applyFill="1" applyBorder="1" applyAlignment="1">
      <alignment horizontal="center" wrapText="1"/>
    </xf>
    <xf numFmtId="0" fontId="0" fillId="0" borderId="70" xfId="0" applyBorder="1"/>
    <xf numFmtId="49" fontId="8" fillId="3" borderId="0" xfId="0" applyNumberFormat="1" applyFont="1" applyFill="1" applyAlignment="1">
      <alignment horizontal="left" vertical="center"/>
    </xf>
    <xf numFmtId="0" fontId="0" fillId="6" borderId="0" xfId="0" applyFill="1" applyAlignment="1">
      <alignment vertical="center"/>
    </xf>
    <xf numFmtId="0" fontId="0" fillId="0" borderId="37" xfId="0" applyBorder="1" applyAlignment="1">
      <alignment vertical="center"/>
    </xf>
    <xf numFmtId="0" fontId="8" fillId="2" borderId="7" xfId="0" applyFont="1" applyFill="1" applyBorder="1" applyAlignment="1">
      <alignment horizontal="left" vertical="top"/>
    </xf>
    <xf numFmtId="0" fontId="0" fillId="0" borderId="24" xfId="0" applyBorder="1"/>
    <xf numFmtId="0" fontId="25" fillId="2" borderId="20" xfId="0" applyFont="1" applyFill="1" applyBorder="1" applyAlignment="1" applyProtection="1">
      <alignment horizontal="left"/>
      <protection locked="0"/>
    </xf>
    <xf numFmtId="0" fontId="26" fillId="0" borderId="20" xfId="0" applyFont="1" applyBorder="1" applyProtection="1">
      <protection locked="0"/>
    </xf>
    <xf numFmtId="0" fontId="26" fillId="0" borderId="58" xfId="0" applyFont="1" applyBorder="1" applyProtection="1">
      <protection locked="0"/>
    </xf>
    <xf numFmtId="49" fontId="5" fillId="2" borderId="22" xfId="0" applyNumberFormat="1" applyFont="1" applyFill="1" applyBorder="1" applyAlignment="1" applyProtection="1">
      <alignment horizontal="center"/>
      <protection locked="0"/>
    </xf>
    <xf numFmtId="49" fontId="0" fillId="0" borderId="70" xfId="0" applyNumberFormat="1" applyBorder="1" applyProtection="1">
      <protection locked="0"/>
    </xf>
    <xf numFmtId="49" fontId="0" fillId="0" borderId="71" xfId="0" applyNumberFormat="1" applyBorder="1" applyProtection="1">
      <protection locked="0"/>
    </xf>
    <xf numFmtId="49" fontId="20" fillId="3" borderId="0" xfId="0" applyNumberFormat="1" applyFont="1" applyFill="1"/>
    <xf numFmtId="49" fontId="25" fillId="0" borderId="0" xfId="0" applyNumberFormat="1" applyFont="1"/>
    <xf numFmtId="49" fontId="40" fillId="3" borderId="40" xfId="0" applyNumberFormat="1" applyFont="1" applyFill="1" applyBorder="1"/>
    <xf numFmtId="49" fontId="25" fillId="0" borderId="40" xfId="0" applyNumberFormat="1" applyFont="1" applyBorder="1"/>
    <xf numFmtId="49" fontId="8"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40" fillId="3" borderId="40" xfId="0" applyFont="1" applyFill="1" applyBorder="1"/>
    <xf numFmtId="0" fontId="25" fillId="0" borderId="40" xfId="0" applyFont="1" applyBorder="1"/>
    <xf numFmtId="0" fontId="20" fillId="3" borderId="70" xfId="0" applyFont="1" applyFill="1" applyBorder="1"/>
    <xf numFmtId="0" fontId="25" fillId="0" borderId="70" xfId="0" applyFont="1" applyBorder="1"/>
    <xf numFmtId="3" fontId="107" fillId="2" borderId="24" xfId="5" applyNumberFormat="1" applyFont="1" applyFill="1" applyBorder="1" applyAlignment="1" applyProtection="1">
      <alignment horizontal="center" wrapText="1"/>
      <protection locked="0"/>
    </xf>
    <xf numFmtId="0" fontId="108" fillId="2" borderId="57" xfId="0" applyFont="1" applyFill="1" applyBorder="1" applyAlignment="1" applyProtection="1">
      <alignment horizontal="center" wrapText="1"/>
      <protection locked="0"/>
    </xf>
    <xf numFmtId="0" fontId="25" fillId="2" borderId="20" xfId="0" applyFont="1" applyFill="1" applyBorder="1" applyAlignment="1" applyProtection="1">
      <alignment horizontal="center"/>
      <protection locked="0"/>
    </xf>
    <xf numFmtId="0" fontId="25" fillId="7" borderId="58" xfId="0" applyFont="1" applyFill="1" applyBorder="1" applyAlignment="1" applyProtection="1">
      <alignment horizontal="center"/>
      <protection locked="0"/>
    </xf>
    <xf numFmtId="0" fontId="20" fillId="3" borderId="34" xfId="0" applyFont="1" applyFill="1" applyBorder="1" applyAlignment="1">
      <alignment horizontal="right"/>
    </xf>
    <xf numFmtId="0" fontId="23" fillId="2" borderId="2" xfId="0" applyFont="1" applyFill="1" applyBorder="1" applyAlignment="1">
      <alignment horizontal="center" vertical="center"/>
    </xf>
    <xf numFmtId="0" fontId="0" fillId="0" borderId="2" xfId="0" applyBorder="1" applyAlignment="1">
      <alignment vertical="center"/>
    </xf>
    <xf numFmtId="0" fontId="13" fillId="3" borderId="0" xfId="0" applyFont="1" applyFill="1"/>
    <xf numFmtId="0" fontId="27" fillId="3" borderId="0" xfId="0" applyFont="1" applyFill="1" applyAlignment="1">
      <alignment horizontal="center"/>
    </xf>
    <xf numFmtId="0" fontId="8" fillId="3" borderId="0" xfId="0" applyFont="1" applyFill="1" applyAlignment="1">
      <alignment horizontal="left" vertical="center" wrapText="1"/>
    </xf>
    <xf numFmtId="0" fontId="0" fillId="0" borderId="0" xfId="0" applyAlignment="1">
      <alignment horizontal="left" vertical="center" wrapText="1"/>
    </xf>
    <xf numFmtId="0" fontId="20" fillId="3" borderId="0" xfId="0" applyFont="1" applyFill="1" applyAlignment="1">
      <alignment horizontal="right"/>
    </xf>
    <xf numFmtId="0" fontId="0" fillId="0" borderId="0" xfId="0" applyAlignment="1">
      <alignment horizontal="right"/>
    </xf>
    <xf numFmtId="0" fontId="63" fillId="2" borderId="24" xfId="0" applyFont="1" applyFill="1" applyBorder="1" applyAlignment="1" applyProtection="1">
      <alignment horizontal="center" vertical="center" wrapText="1"/>
      <protection locked="0"/>
    </xf>
    <xf numFmtId="0" fontId="42" fillId="7" borderId="44" xfId="0" applyFont="1" applyFill="1" applyBorder="1" applyAlignment="1" applyProtection="1">
      <alignment horizontal="center" vertical="center" wrapText="1"/>
      <protection locked="0"/>
    </xf>
    <xf numFmtId="0" fontId="52" fillId="7" borderId="0" xfId="5" applyFill="1" applyAlignment="1" applyProtection="1"/>
    <xf numFmtId="0" fontId="25" fillId="3" borderId="26" xfId="0" applyFont="1" applyFill="1" applyBorder="1" applyAlignment="1">
      <alignment vertical="center"/>
    </xf>
    <xf numFmtId="0" fontId="0" fillId="0" borderId="43" xfId="0" applyBorder="1"/>
    <xf numFmtId="0" fontId="0" fillId="0" borderId="43" xfId="0" applyBorder="1" applyAlignment="1">
      <alignment vertical="center"/>
    </xf>
    <xf numFmtId="0" fontId="13" fillId="3" borderId="95" xfId="0" applyFont="1" applyFill="1" applyBorder="1" applyAlignment="1">
      <alignment vertical="center" wrapText="1"/>
    </xf>
    <xf numFmtId="0" fontId="13" fillId="3" borderId="96" xfId="0" applyFont="1" applyFill="1" applyBorder="1" applyAlignment="1">
      <alignment vertical="center" wrapText="1"/>
    </xf>
    <xf numFmtId="0" fontId="13" fillId="3" borderId="95" xfId="0" applyFont="1" applyFill="1" applyBorder="1" applyAlignment="1">
      <alignment vertical="center"/>
    </xf>
    <xf numFmtId="3" fontId="25" fillId="2" borderId="26" xfId="0" applyNumberFormat="1" applyFont="1" applyFill="1" applyBorder="1" applyAlignment="1" applyProtection="1">
      <alignment horizontal="center" vertical="center"/>
      <protection locked="0"/>
    </xf>
    <xf numFmtId="3" fontId="0" fillId="0" borderId="69" xfId="0" applyNumberFormat="1" applyBorder="1" applyAlignment="1" applyProtection="1">
      <alignment horizontal="center" vertical="center"/>
      <protection locked="0"/>
    </xf>
    <xf numFmtId="0" fontId="5" fillId="3" borderId="26" xfId="0" applyFont="1" applyFill="1" applyBorder="1" applyAlignment="1">
      <alignment horizontal="center" vertical="center"/>
    </xf>
    <xf numFmtId="0" fontId="0" fillId="6" borderId="23" xfId="0" applyFill="1" applyBorder="1"/>
    <xf numFmtId="0" fontId="0" fillId="6" borderId="43" xfId="0" applyFill="1" applyBorder="1"/>
    <xf numFmtId="4" fontId="25" fillId="2" borderId="26" xfId="0" applyNumberFormat="1" applyFont="1" applyFill="1" applyBorder="1" applyAlignment="1" applyProtection="1">
      <alignment horizontal="center" vertical="center"/>
      <protection locked="0"/>
    </xf>
    <xf numFmtId="4" fontId="0" fillId="0" borderId="69" xfId="0" applyNumberFormat="1" applyBorder="1" applyAlignment="1" applyProtection="1">
      <alignment horizontal="center" vertical="center"/>
      <protection locked="0"/>
    </xf>
    <xf numFmtId="49" fontId="5" fillId="2" borderId="39" xfId="0" applyNumberFormat="1"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6" fillId="3" borderId="70" xfId="0" applyFont="1" applyFill="1" applyBorder="1" applyAlignment="1">
      <alignment horizontal="center"/>
    </xf>
    <xf numFmtId="0" fontId="0" fillId="0" borderId="70" xfId="0" applyBorder="1" applyAlignment="1">
      <alignment horizontal="center"/>
    </xf>
    <xf numFmtId="0" fontId="13" fillId="3" borderId="22" xfId="0" applyFont="1" applyFill="1" applyBorder="1" applyAlignment="1">
      <alignment vertical="center" wrapText="1"/>
    </xf>
    <xf numFmtId="0" fontId="13" fillId="3" borderId="68" xfId="0" applyFont="1" applyFill="1" applyBorder="1" applyAlignment="1">
      <alignment vertical="center" wrapText="1"/>
    </xf>
    <xf numFmtId="3" fontId="25" fillId="2" borderId="33" xfId="0" applyNumberFormat="1" applyFont="1" applyFill="1" applyBorder="1" applyAlignment="1" applyProtection="1">
      <alignment horizontal="center" vertical="center"/>
      <protection locked="0"/>
    </xf>
    <xf numFmtId="0" fontId="0" fillId="0" borderId="68" xfId="0" applyBorder="1" applyAlignment="1">
      <alignment horizontal="center" vertical="center"/>
    </xf>
    <xf numFmtId="0" fontId="25" fillId="3" borderId="33" xfId="0" applyFont="1" applyFill="1" applyBorder="1" applyAlignment="1">
      <alignment vertical="center"/>
    </xf>
    <xf numFmtId="0" fontId="0" fillId="0" borderId="22" xfId="0" applyBorder="1"/>
    <xf numFmtId="0" fontId="0" fillId="0" borderId="6" xfId="0" applyBorder="1"/>
    <xf numFmtId="3" fontId="25" fillId="2" borderId="7" xfId="0" applyNumberFormat="1" applyFont="1" applyFill="1" applyBorder="1" applyAlignment="1">
      <alignment horizontal="center" vertical="center"/>
    </xf>
    <xf numFmtId="0" fontId="0" fillId="0" borderId="57" xfId="0" applyBorder="1" applyAlignment="1">
      <alignment vertical="center"/>
    </xf>
    <xf numFmtId="0" fontId="25" fillId="3" borderId="7" xfId="0" applyFont="1" applyFill="1" applyBorder="1" applyAlignment="1">
      <alignment vertical="center"/>
    </xf>
    <xf numFmtId="0" fontId="0" fillId="0" borderId="44" xfId="0" applyBorder="1"/>
    <xf numFmtId="0" fontId="13" fillId="20" borderId="24" xfId="0" applyFont="1" applyFill="1" applyBorder="1" applyAlignment="1">
      <alignment vertical="center" wrapText="1"/>
    </xf>
    <xf numFmtId="0" fontId="13" fillId="20" borderId="57" xfId="0" applyFont="1" applyFill="1" applyBorder="1" applyAlignment="1">
      <alignment vertical="center" wrapText="1"/>
    </xf>
    <xf numFmtId="3" fontId="25" fillId="2" borderId="94" xfId="0" applyNumberFormat="1" applyFont="1" applyFill="1" applyBorder="1" applyAlignment="1" applyProtection="1">
      <alignment horizontal="center" vertical="center"/>
      <protection locked="0"/>
    </xf>
    <xf numFmtId="0" fontId="0" fillId="0" borderId="96" xfId="0" applyBorder="1" applyAlignment="1">
      <alignment horizontal="center" vertical="center"/>
    </xf>
    <xf numFmtId="0" fontId="25" fillId="3" borderId="94" xfId="0" applyFont="1" applyFill="1" applyBorder="1" applyAlignment="1">
      <alignment vertical="center"/>
    </xf>
    <xf numFmtId="0" fontId="0" fillId="0" borderId="95" xfId="0" applyBorder="1"/>
    <xf numFmtId="0" fontId="0" fillId="0" borderId="115" xfId="0" applyBorder="1"/>
    <xf numFmtId="0" fontId="20" fillId="6" borderId="70" xfId="0" applyFont="1" applyFill="1" applyBorder="1" applyAlignment="1">
      <alignment horizontal="center"/>
    </xf>
    <xf numFmtId="0" fontId="13" fillId="3" borderId="4" xfId="0" applyFont="1" applyFill="1" applyBorder="1" applyAlignment="1">
      <alignment vertical="center"/>
    </xf>
    <xf numFmtId="0" fontId="0" fillId="0" borderId="22" xfId="0" applyBorder="1" applyAlignment="1">
      <alignment vertical="center"/>
    </xf>
    <xf numFmtId="0" fontId="0" fillId="0" borderId="68" xfId="0" applyBorder="1" applyAlignment="1">
      <alignment vertical="center"/>
    </xf>
    <xf numFmtId="0" fontId="13" fillId="3" borderId="96" xfId="0" applyFont="1" applyFill="1" applyBorder="1" applyAlignment="1">
      <alignment vertical="center"/>
    </xf>
    <xf numFmtId="3" fontId="25" fillId="2" borderId="7"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13" fillId="3" borderId="24" xfId="0" applyFont="1" applyFill="1" applyBorder="1" applyAlignment="1">
      <alignment vertical="center"/>
    </xf>
    <xf numFmtId="0" fontId="13" fillId="3" borderId="57" xfId="0" applyFont="1" applyFill="1" applyBorder="1" applyAlignment="1">
      <alignment vertical="center"/>
    </xf>
    <xf numFmtId="0" fontId="13" fillId="3" borderId="23" xfId="0" applyFont="1" applyFill="1" applyBorder="1" applyAlignment="1">
      <alignment vertical="center" wrapText="1"/>
    </xf>
    <xf numFmtId="0" fontId="13" fillId="3" borderId="69" xfId="0" applyFont="1" applyFill="1" applyBorder="1" applyAlignment="1">
      <alignment vertical="center" wrapText="1"/>
    </xf>
    <xf numFmtId="0" fontId="0" fillId="0" borderId="69" xfId="0" applyBorder="1" applyAlignment="1">
      <alignment horizontal="center" vertical="center"/>
    </xf>
    <xf numFmtId="3" fontId="25" fillId="2" borderId="123" xfId="0" applyNumberFormat="1" applyFont="1" applyFill="1" applyBorder="1" applyAlignment="1" applyProtection="1">
      <alignment horizontal="center" vertical="center"/>
      <protection locked="0"/>
    </xf>
    <xf numFmtId="0" fontId="14" fillId="3" borderId="20" xfId="0" applyFont="1" applyFill="1" applyBorder="1"/>
    <xf numFmtId="0" fontId="0" fillId="0" borderId="20" xfId="0" applyBorder="1"/>
    <xf numFmtId="0" fontId="8" fillId="3" borderId="16" xfId="0" applyFont="1" applyFill="1" applyBorder="1" applyAlignment="1">
      <alignment vertical="center" wrapText="1"/>
    </xf>
    <xf numFmtId="0" fontId="0" fillId="0" borderId="58" xfId="0" applyBorder="1" applyAlignment="1">
      <alignment vertical="center" wrapText="1"/>
    </xf>
    <xf numFmtId="0" fontId="3"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8" xfId="0" applyBorder="1" applyAlignment="1" applyProtection="1">
      <alignment vertical="center"/>
      <protection locked="0"/>
    </xf>
    <xf numFmtId="0" fontId="8" fillId="3" borderId="39" xfId="0" applyFont="1" applyFill="1" applyBorder="1" applyAlignment="1">
      <alignment horizontal="center" vertical="center"/>
    </xf>
    <xf numFmtId="0" fontId="8" fillId="3" borderId="58" xfId="0" applyFont="1" applyFill="1" applyBorder="1" applyAlignment="1">
      <alignment horizontal="center" vertical="center"/>
    </xf>
    <xf numFmtId="0" fontId="13" fillId="3" borderId="70" xfId="0" applyFont="1" applyFill="1" applyBorder="1" applyAlignment="1">
      <alignment horizontal="center" vertical="center"/>
    </xf>
    <xf numFmtId="0" fontId="0" fillId="0" borderId="70" xfId="0" applyBorder="1" applyAlignment="1">
      <alignment vertical="center"/>
    </xf>
    <xf numFmtId="0" fontId="0" fillId="0" borderId="23" xfId="0" applyBorder="1" applyAlignment="1">
      <alignment vertical="center" wrapText="1"/>
    </xf>
    <xf numFmtId="0" fontId="0" fillId="0" borderId="69" xfId="0" applyBorder="1" applyAlignment="1">
      <alignment vertical="center" wrapText="1"/>
    </xf>
    <xf numFmtId="0" fontId="13" fillId="3" borderId="23" xfId="0" applyFont="1" applyFill="1" applyBorder="1" applyAlignment="1">
      <alignment vertical="center"/>
    </xf>
    <xf numFmtId="0" fontId="13" fillId="3" borderId="69" xfId="0" applyFont="1" applyFill="1" applyBorder="1" applyAlignment="1">
      <alignment vertical="center"/>
    </xf>
    <xf numFmtId="3" fontId="5" fillId="2" borderId="123" xfId="0" applyNumberFormat="1" applyFont="1" applyFill="1" applyBorder="1" applyAlignment="1">
      <alignment horizontal="center" vertical="center"/>
    </xf>
    <xf numFmtId="3" fontId="5" fillId="2" borderId="95" xfId="0" applyNumberFormat="1" applyFont="1" applyFill="1" applyBorder="1" applyAlignment="1">
      <alignment horizontal="center" vertical="center"/>
    </xf>
    <xf numFmtId="3" fontId="0" fillId="0" borderId="96" xfId="0" applyNumberFormat="1" applyBorder="1" applyAlignment="1">
      <alignment horizontal="center" vertical="center"/>
    </xf>
    <xf numFmtId="0" fontId="8" fillId="3" borderId="95" xfId="0" applyFont="1" applyFill="1" applyBorder="1" applyAlignment="1">
      <alignment vertical="center" wrapText="1"/>
    </xf>
    <xf numFmtId="0" fontId="0" fillId="0" borderId="95" xfId="0" applyBorder="1" applyAlignment="1">
      <alignment wrapText="1"/>
    </xf>
    <xf numFmtId="0" fontId="0" fillId="0" borderId="96" xfId="0" applyBorder="1" applyAlignment="1">
      <alignment wrapText="1"/>
    </xf>
    <xf numFmtId="0" fontId="25" fillId="3" borderId="43" xfId="0" applyFont="1" applyFill="1" applyBorder="1" applyAlignment="1">
      <alignment vertical="center"/>
    </xf>
    <xf numFmtId="3" fontId="5" fillId="2" borderId="7" xfId="0" applyNumberFormat="1" applyFont="1" applyFill="1" applyBorder="1" applyAlignment="1">
      <alignment horizontal="center" vertical="center"/>
    </xf>
    <xf numFmtId="3" fontId="5" fillId="2" borderId="24" xfId="0" applyNumberFormat="1" applyFont="1" applyFill="1" applyBorder="1" applyAlignment="1">
      <alignment horizontal="center" vertical="center"/>
    </xf>
    <xf numFmtId="3" fontId="0" fillId="0" borderId="57" xfId="0" applyNumberFormat="1" applyBorder="1" applyAlignment="1">
      <alignment horizontal="center" vertical="center"/>
    </xf>
    <xf numFmtId="0" fontId="20" fillId="3" borderId="70" xfId="0" applyFont="1" applyFill="1" applyBorder="1" applyAlignment="1">
      <alignment horizontal="center"/>
    </xf>
    <xf numFmtId="0" fontId="25" fillId="6" borderId="70" xfId="0" applyFont="1" applyFill="1" applyBorder="1" applyAlignment="1">
      <alignment horizontal="center"/>
    </xf>
    <xf numFmtId="0" fontId="25" fillId="0" borderId="70" xfId="0" applyFont="1" applyBorder="1" applyAlignment="1">
      <alignment horizontal="center"/>
    </xf>
    <xf numFmtId="4" fontId="25" fillId="2" borderId="33" xfId="0" applyNumberFormat="1" applyFont="1" applyFill="1" applyBorder="1" applyAlignment="1" applyProtection="1">
      <alignment horizontal="center" vertical="center"/>
      <protection locked="0"/>
    </xf>
    <xf numFmtId="4" fontId="0" fillId="0" borderId="68" xfId="0" applyNumberFormat="1" applyBorder="1" applyAlignment="1">
      <alignment horizontal="center" vertical="center"/>
    </xf>
    <xf numFmtId="0" fontId="8" fillId="3" borderId="95" xfId="0" applyFont="1" applyFill="1" applyBorder="1" applyAlignment="1">
      <alignment vertical="center"/>
    </xf>
    <xf numFmtId="0" fontId="0" fillId="0" borderId="96" xfId="0" applyBorder="1"/>
    <xf numFmtId="3" fontId="25" fillId="2" borderId="33" xfId="0" applyNumberFormat="1" applyFont="1" applyFill="1" applyBorder="1" applyAlignment="1">
      <alignment horizontal="center" vertical="center"/>
    </xf>
    <xf numFmtId="3" fontId="25" fillId="2" borderId="26" xfId="0" applyNumberFormat="1" applyFont="1" applyFill="1" applyBorder="1" applyAlignment="1">
      <alignment horizontal="center" vertical="center"/>
    </xf>
    <xf numFmtId="0" fontId="0" fillId="0" borderId="69" xfId="0" applyBorder="1" applyAlignment="1">
      <alignment vertical="center"/>
    </xf>
    <xf numFmtId="3" fontId="5" fillId="2" borderId="26" xfId="0" applyNumberFormat="1" applyFont="1" applyFill="1"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locked="0"/>
    </xf>
    <xf numFmtId="3" fontId="5" fillId="2" borderId="26"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3" fontId="0" fillId="0" borderId="69" xfId="0" applyNumberFormat="1" applyBorder="1" applyAlignment="1">
      <alignment horizontal="center" vertical="center"/>
    </xf>
    <xf numFmtId="3" fontId="5" fillId="2" borderId="33"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3" fontId="0" fillId="0" borderId="68" xfId="0" applyNumberFormat="1" applyBorder="1" applyAlignment="1">
      <alignment horizontal="center" vertical="center"/>
    </xf>
    <xf numFmtId="0" fontId="8" fillId="3" borderId="24" xfId="0" applyFont="1" applyFill="1" applyBorder="1" applyAlignment="1">
      <alignment vertical="center" wrapText="1"/>
    </xf>
    <xf numFmtId="0" fontId="0" fillId="0" borderId="24" xfId="0" applyBorder="1" applyAlignment="1">
      <alignment wrapText="1"/>
    </xf>
    <xf numFmtId="0" fontId="0" fillId="0" borderId="57" xfId="0" applyBorder="1" applyAlignment="1">
      <alignment wrapText="1"/>
    </xf>
    <xf numFmtId="0" fontId="8" fillId="3" borderId="23" xfId="0" applyFont="1" applyFill="1" applyBorder="1" applyAlignment="1">
      <alignment vertical="center" wrapText="1"/>
    </xf>
    <xf numFmtId="0" fontId="5" fillId="3" borderId="33" xfId="0" applyFont="1" applyFill="1" applyBorder="1" applyAlignment="1">
      <alignment horizontal="center" vertical="center"/>
    </xf>
    <xf numFmtId="0" fontId="0" fillId="6" borderId="22" xfId="0" applyFill="1" applyBorder="1"/>
    <xf numFmtId="0" fontId="0" fillId="6" borderId="6" xfId="0" applyFill="1" applyBorder="1"/>
    <xf numFmtId="0" fontId="57" fillId="3" borderId="0" xfId="0" applyFont="1" applyFill="1" applyAlignment="1">
      <alignment horizontal="left"/>
    </xf>
    <xf numFmtId="0" fontId="42" fillId="6" borderId="0" xfId="0" applyFont="1" applyFill="1" applyAlignment="1">
      <alignment horizontal="left"/>
    </xf>
    <xf numFmtId="0" fontId="42" fillId="0" borderId="0" xfId="0" applyFont="1" applyAlignment="1">
      <alignment horizontal="left"/>
    </xf>
    <xf numFmtId="0" fontId="0" fillId="0" borderId="23" xfId="0" applyBorder="1" applyAlignment="1">
      <alignment wrapText="1"/>
    </xf>
    <xf numFmtId="0" fontId="0" fillId="0" borderId="69" xfId="0" applyBorder="1" applyAlignment="1">
      <alignment wrapText="1"/>
    </xf>
    <xf numFmtId="0" fontId="20" fillId="3" borderId="0" xfId="0" applyFont="1" applyFill="1" applyAlignment="1">
      <alignment horizontal="center"/>
    </xf>
    <xf numFmtId="0" fontId="0" fillId="0" borderId="95" xfId="0" applyBorder="1" applyAlignment="1">
      <alignment vertical="center" wrapText="1"/>
    </xf>
    <xf numFmtId="0" fontId="0" fillId="0" borderId="96" xfId="0" applyBorder="1" applyAlignment="1">
      <alignment vertical="center" wrapText="1"/>
    </xf>
    <xf numFmtId="0" fontId="13" fillId="3" borderId="33" xfId="0" applyFont="1" applyFill="1" applyBorder="1" applyAlignment="1">
      <alignment horizontal="center" vertical="center"/>
    </xf>
    <xf numFmtId="0" fontId="0" fillId="0" borderId="6" xfId="0" applyBorder="1" applyAlignment="1">
      <alignment horizontal="center" vertical="center"/>
    </xf>
    <xf numFmtId="0" fontId="5" fillId="3" borderId="7" xfId="0" applyFont="1" applyFill="1" applyBorder="1" applyAlignment="1">
      <alignment horizontal="center" vertical="center"/>
    </xf>
    <xf numFmtId="0" fontId="0" fillId="6" borderId="24" xfId="0" applyFill="1" applyBorder="1"/>
    <xf numFmtId="0" fontId="0" fillId="6" borderId="44" xfId="0" applyFill="1" applyBorder="1"/>
    <xf numFmtId="0" fontId="8" fillId="3" borderId="22" xfId="0" applyFont="1" applyFill="1" applyBorder="1" applyAlignment="1">
      <alignment vertical="center" wrapText="1"/>
    </xf>
    <xf numFmtId="0" fontId="0" fillId="0" borderId="22" xfId="0" applyBorder="1" applyAlignment="1">
      <alignment vertical="center" wrapText="1"/>
    </xf>
    <xf numFmtId="0" fontId="0" fillId="0" borderId="68" xfId="0" applyBorder="1" applyAlignment="1">
      <alignment vertical="center" wrapText="1"/>
    </xf>
    <xf numFmtId="0" fontId="8" fillId="3" borderId="4" xfId="0" applyFont="1" applyFill="1" applyBorder="1" applyAlignment="1">
      <alignment horizontal="center"/>
    </xf>
    <xf numFmtId="0" fontId="8" fillId="3" borderId="22" xfId="0" applyFont="1" applyFill="1" applyBorder="1" applyAlignment="1">
      <alignment horizontal="center"/>
    </xf>
    <xf numFmtId="0" fontId="8" fillId="3" borderId="68" xfId="0" applyFont="1" applyFill="1" applyBorder="1" applyAlignment="1">
      <alignment horizontal="center"/>
    </xf>
    <xf numFmtId="0" fontId="8" fillId="3" borderId="27" xfId="0" applyFont="1" applyFill="1" applyBorder="1" applyAlignment="1">
      <alignment horizontal="center"/>
    </xf>
    <xf numFmtId="0" fontId="8" fillId="3" borderId="36" xfId="0" applyFont="1" applyFill="1" applyBorder="1" applyAlignment="1">
      <alignment horizontal="center"/>
    </xf>
    <xf numFmtId="3" fontId="5" fillId="2" borderId="7" xfId="0" applyNumberFormat="1" applyFont="1" applyFill="1" applyBorder="1" applyAlignment="1" applyProtection="1">
      <alignment horizontal="center" vertical="center"/>
      <protection locked="0"/>
    </xf>
    <xf numFmtId="3" fontId="5" fillId="2" borderId="24" xfId="0" applyNumberFormat="1" applyFont="1" applyFill="1" applyBorder="1" applyAlignment="1" applyProtection="1">
      <alignment horizontal="center" vertical="center"/>
      <protection locked="0"/>
    </xf>
    <xf numFmtId="0" fontId="8" fillId="3" borderId="33" xfId="0" applyFont="1" applyFill="1" applyBorder="1" applyAlignment="1">
      <alignment horizontal="center"/>
    </xf>
    <xf numFmtId="0" fontId="0" fillId="0" borderId="36" xfId="0" applyBorder="1"/>
    <xf numFmtId="0" fontId="5" fillId="2" borderId="128" xfId="0" applyFont="1" applyFill="1" applyBorder="1" applyAlignment="1" applyProtection="1">
      <alignment vertical="center"/>
      <protection locked="0"/>
    </xf>
    <xf numFmtId="0" fontId="0" fillId="0" borderId="128" xfId="0" applyBorder="1" applyAlignment="1" applyProtection="1">
      <alignment vertical="center"/>
      <protection locked="0"/>
    </xf>
    <xf numFmtId="0" fontId="8" fillId="20" borderId="95" xfId="0" applyFont="1" applyFill="1" applyBorder="1" applyAlignment="1">
      <alignment vertical="center"/>
    </xf>
    <xf numFmtId="0" fontId="8" fillId="20" borderId="96" xfId="0" applyFont="1" applyFill="1" applyBorder="1" applyAlignment="1">
      <alignment vertical="center"/>
    </xf>
    <xf numFmtId="3" fontId="5" fillId="2" borderId="123" xfId="0" applyNumberFormat="1" applyFont="1" applyFill="1" applyBorder="1" applyAlignment="1" applyProtection="1">
      <alignment horizontal="center" vertical="center"/>
      <protection locked="0"/>
    </xf>
    <xf numFmtId="3" fontId="5" fillId="2" borderId="95" xfId="0" applyNumberFormat="1" applyFont="1" applyFill="1" applyBorder="1" applyAlignment="1" applyProtection="1">
      <alignment horizontal="center" vertical="center"/>
      <protection locked="0"/>
    </xf>
    <xf numFmtId="3" fontId="5" fillId="2" borderId="96" xfId="0" applyNumberFormat="1" applyFont="1" applyFill="1" applyBorder="1" applyAlignment="1" applyProtection="1">
      <alignment horizontal="center" vertical="center"/>
      <protection locked="0"/>
    </xf>
    <xf numFmtId="0" fontId="8" fillId="20" borderId="2" xfId="0" applyFont="1" applyFill="1" applyBorder="1" applyAlignment="1">
      <alignment horizontal="center"/>
    </xf>
    <xf numFmtId="0" fontId="8" fillId="20" borderId="123" xfId="0" applyFont="1" applyFill="1" applyBorder="1" applyAlignment="1">
      <alignment horizontal="center"/>
    </xf>
    <xf numFmtId="0" fontId="0" fillId="25" borderId="1" xfId="0" applyFill="1" applyBorder="1"/>
    <xf numFmtId="0" fontId="8" fillId="3" borderId="96" xfId="0" applyFont="1" applyFill="1" applyBorder="1" applyAlignment="1">
      <alignment vertical="center" wrapText="1"/>
    </xf>
    <xf numFmtId="3" fontId="5" fillId="2" borderId="94" xfId="0" applyNumberFormat="1" applyFont="1" applyFill="1" applyBorder="1" applyAlignment="1" applyProtection="1">
      <alignment horizontal="center" vertical="center"/>
      <protection locked="0"/>
    </xf>
    <xf numFmtId="0" fontId="8" fillId="3" borderId="2" xfId="0" applyFont="1" applyFill="1" applyBorder="1" applyAlignment="1">
      <alignment horizontal="center"/>
    </xf>
    <xf numFmtId="0" fontId="8" fillId="3" borderId="123" xfId="0" applyFont="1" applyFill="1" applyBorder="1" applyAlignment="1">
      <alignment horizontal="center"/>
    </xf>
    <xf numFmtId="0" fontId="0" fillId="0" borderId="1" xfId="0" applyBorder="1"/>
    <xf numFmtId="0" fontId="8" fillId="3" borderId="68" xfId="0" applyFont="1" applyFill="1" applyBorder="1" applyAlignment="1">
      <alignment vertical="center" wrapText="1"/>
    </xf>
    <xf numFmtId="0" fontId="8" fillId="3" borderId="20" xfId="0" applyFont="1" applyFill="1" applyBorder="1" applyAlignment="1">
      <alignment horizontal="center" vertical="center"/>
    </xf>
    <xf numFmtId="0" fontId="7" fillId="3" borderId="0" xfId="0" applyFont="1" applyFill="1" applyAlignment="1">
      <alignment horizontal="left"/>
    </xf>
    <xf numFmtId="0" fontId="11" fillId="0" borderId="0" xfId="0" applyFont="1" applyAlignment="1">
      <alignment horizontal="left"/>
    </xf>
    <xf numFmtId="0" fontId="8" fillId="3" borderId="128" xfId="0" applyFont="1" applyFill="1" applyBorder="1" applyAlignment="1">
      <alignment horizontal="center" vertical="center"/>
    </xf>
    <xf numFmtId="0" fontId="0" fillId="0" borderId="128" xfId="0" applyBorder="1" applyAlignment="1">
      <alignment horizontal="center" vertical="center"/>
    </xf>
    <xf numFmtId="0" fontId="8" fillId="3" borderId="23" xfId="0" applyFont="1" applyFill="1" applyBorder="1" applyAlignment="1">
      <alignment vertical="center" wrapText="1" shrinkToFit="1"/>
    </xf>
    <xf numFmtId="0" fontId="8" fillId="3" borderId="69" xfId="0" applyFont="1" applyFill="1" applyBorder="1" applyAlignment="1">
      <alignment vertical="center" wrapText="1" shrinkToFit="1"/>
    </xf>
    <xf numFmtId="0" fontId="8" fillId="3" borderId="64" xfId="0" applyFont="1" applyFill="1" applyBorder="1" applyAlignment="1">
      <alignment horizontal="center" vertical="center"/>
    </xf>
    <xf numFmtId="0" fontId="0" fillId="0" borderId="71" xfId="0" applyBorder="1" applyAlignment="1">
      <alignment horizontal="center" vertical="center"/>
    </xf>
    <xf numFmtId="0" fontId="0" fillId="0" borderId="111" xfId="0" applyBorder="1" applyAlignment="1">
      <alignment horizontal="center" vertical="center"/>
    </xf>
    <xf numFmtId="0" fontId="0" fillId="0" borderId="113" xfId="0" applyBorder="1" applyAlignment="1">
      <alignment horizontal="center" vertical="center"/>
    </xf>
    <xf numFmtId="0" fontId="8" fillId="20" borderId="3" xfId="0" applyFont="1" applyFill="1" applyBorder="1" applyAlignment="1">
      <alignment horizontal="center"/>
    </xf>
    <xf numFmtId="0" fontId="8" fillId="20" borderId="7" xfId="0" applyFont="1" applyFill="1" applyBorder="1" applyAlignment="1">
      <alignment horizontal="center"/>
    </xf>
    <xf numFmtId="0" fontId="0" fillId="25" borderId="9" xfId="0" applyFill="1" applyBorder="1"/>
    <xf numFmtId="0" fontId="8" fillId="3" borderId="3" xfId="0" applyFont="1" applyFill="1" applyBorder="1" applyAlignment="1">
      <alignment horizontal="center"/>
    </xf>
    <xf numFmtId="0" fontId="8" fillId="3" borderId="7" xfId="0" applyFont="1" applyFill="1" applyBorder="1" applyAlignment="1">
      <alignment horizontal="center"/>
    </xf>
    <xf numFmtId="0" fontId="0" fillId="0" borderId="9" xfId="0" applyBorder="1"/>
    <xf numFmtId="0" fontId="8" fillId="3" borderId="57" xfId="0" applyFont="1" applyFill="1" applyBorder="1" applyAlignment="1">
      <alignment vertical="center"/>
    </xf>
    <xf numFmtId="0" fontId="8" fillId="3" borderId="26" xfId="0" applyFont="1" applyFill="1" applyBorder="1" applyAlignment="1">
      <alignment horizontal="center"/>
    </xf>
    <xf numFmtId="0" fontId="6" fillId="3" borderId="20" xfId="0" applyFont="1" applyFill="1" applyBorder="1" applyAlignment="1">
      <alignment horizontal="center"/>
    </xf>
    <xf numFmtId="0" fontId="0" fillId="0" borderId="20" xfId="0" applyBorder="1" applyAlignment="1">
      <alignment horizontal="center"/>
    </xf>
    <xf numFmtId="0" fontId="8" fillId="20" borderId="24" xfId="0" applyFont="1" applyFill="1" applyBorder="1" applyAlignment="1">
      <alignment vertical="center" wrapText="1"/>
    </xf>
    <xf numFmtId="0" fontId="8" fillId="20" borderId="57" xfId="0" applyFont="1" applyFill="1" applyBorder="1" applyAlignment="1">
      <alignment vertical="center"/>
    </xf>
    <xf numFmtId="3" fontId="5" fillId="2" borderId="57" xfId="0" applyNumberFormat="1" applyFont="1" applyFill="1" applyBorder="1" applyAlignment="1">
      <alignment horizontal="center" vertical="center"/>
    </xf>
    <xf numFmtId="3" fontId="5" fillId="2" borderId="33" xfId="0" applyNumberFormat="1" applyFont="1" applyFill="1" applyBorder="1" applyAlignment="1" applyProtection="1">
      <alignment horizontal="center" vertical="center"/>
      <protection locked="0"/>
    </xf>
    <xf numFmtId="3" fontId="5" fillId="2" borderId="22" xfId="0" applyNumberFormat="1" applyFont="1" applyFill="1" applyBorder="1" applyAlignment="1" applyProtection="1">
      <alignment horizontal="center" vertical="center"/>
      <protection locked="0"/>
    </xf>
    <xf numFmtId="3" fontId="5" fillId="2" borderId="68" xfId="0" applyNumberFormat="1" applyFont="1" applyFill="1" applyBorder="1" applyAlignment="1" applyProtection="1">
      <alignment horizontal="center" vertical="center"/>
      <protection locked="0"/>
    </xf>
    <xf numFmtId="3" fontId="5" fillId="2" borderId="57" xfId="0" applyNumberFormat="1" applyFont="1" applyFill="1" applyBorder="1" applyAlignment="1" applyProtection="1">
      <alignment horizontal="center" vertical="center"/>
      <protection locked="0"/>
    </xf>
    <xf numFmtId="49" fontId="5" fillId="2" borderId="128" xfId="0" applyNumberFormat="1" applyFont="1" applyFill="1"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5" fillId="3" borderId="3" xfId="0" applyFont="1" applyFill="1" applyBorder="1" applyAlignment="1">
      <alignment vertical="center"/>
    </xf>
    <xf numFmtId="0" fontId="0" fillId="6" borderId="3" xfId="0" applyFill="1" applyBorder="1" applyAlignment="1">
      <alignment vertical="center"/>
    </xf>
    <xf numFmtId="3" fontId="25" fillId="2" borderId="94" xfId="0" applyNumberFormat="1" applyFont="1" applyFill="1" applyBorder="1" applyAlignment="1">
      <alignment horizontal="center" vertical="center"/>
    </xf>
    <xf numFmtId="3" fontId="25" fillId="2" borderId="95" xfId="0" applyNumberFormat="1" applyFont="1" applyFill="1" applyBorder="1" applyAlignment="1">
      <alignment horizontal="center" vertical="center"/>
    </xf>
    <xf numFmtId="3" fontId="25" fillId="2" borderId="96" xfId="0" applyNumberFormat="1" applyFont="1" applyFill="1" applyBorder="1" applyAlignment="1">
      <alignment horizontal="center" vertical="center"/>
    </xf>
    <xf numFmtId="3" fontId="25" fillId="2" borderId="23" xfId="0" applyNumberFormat="1" applyFont="1" applyFill="1" applyBorder="1" applyAlignment="1">
      <alignment horizontal="center" vertical="center"/>
    </xf>
    <xf numFmtId="3" fontId="25" fillId="2" borderId="69" xfId="0" applyNumberFormat="1" applyFont="1" applyFill="1" applyBorder="1" applyAlignment="1">
      <alignment horizontal="center" vertical="center"/>
    </xf>
    <xf numFmtId="3" fontId="25" fillId="2" borderId="24" xfId="0" applyNumberFormat="1" applyFont="1" applyFill="1" applyBorder="1" applyAlignment="1">
      <alignment horizontal="center" vertical="center"/>
    </xf>
    <xf numFmtId="3" fontId="25" fillId="2" borderId="57" xfId="0" applyNumberFormat="1" applyFont="1" applyFill="1" applyBorder="1" applyAlignment="1">
      <alignment horizontal="center" vertical="center"/>
    </xf>
    <xf numFmtId="0" fontId="0" fillId="0" borderId="128" xfId="0" applyBorder="1" applyAlignment="1" applyProtection="1">
      <alignment horizontal="center" vertical="center"/>
      <protection locked="0"/>
    </xf>
    <xf numFmtId="0" fontId="8" fillId="3" borderId="71" xfId="0" applyFont="1" applyFill="1" applyBorder="1" applyAlignment="1">
      <alignment horizontal="center" vertical="center"/>
    </xf>
    <xf numFmtId="0" fontId="11" fillId="6" borderId="33" xfId="0" applyFont="1" applyFill="1" applyBorder="1" applyAlignment="1">
      <alignment horizontal="center" vertical="center" wrapText="1"/>
    </xf>
    <xf numFmtId="0" fontId="0" fillId="0" borderId="68" xfId="0" applyBorder="1" applyAlignment="1">
      <alignment horizontal="center" vertical="center" wrapText="1"/>
    </xf>
    <xf numFmtId="0" fontId="24" fillId="6" borderId="123" xfId="0" applyFont="1" applyFill="1" applyBorder="1" applyAlignment="1">
      <alignment horizontal="center" vertical="center"/>
    </xf>
    <xf numFmtId="0" fontId="0" fillId="0" borderId="127" xfId="0" applyBorder="1" applyAlignment="1">
      <alignment horizontal="center" vertical="center"/>
    </xf>
    <xf numFmtId="0" fontId="25" fillId="3" borderId="23" xfId="0" applyFont="1" applyFill="1" applyBorder="1" applyAlignment="1">
      <alignment vertical="center"/>
    </xf>
    <xf numFmtId="0" fontId="0" fillId="6" borderId="43" xfId="0" applyFill="1" applyBorder="1" applyAlignment="1">
      <alignment vertical="center"/>
    </xf>
    <xf numFmtId="0" fontId="25" fillId="3" borderId="24" xfId="0" applyFont="1" applyFill="1" applyBorder="1" applyAlignment="1">
      <alignment vertical="center"/>
    </xf>
    <xf numFmtId="0" fontId="0" fillId="6" borderId="44" xfId="0" applyFill="1" applyBorder="1" applyAlignment="1">
      <alignment vertical="center"/>
    </xf>
    <xf numFmtId="0" fontId="8" fillId="3" borderId="23" xfId="0" applyFont="1" applyFill="1" applyBorder="1" applyAlignment="1">
      <alignment vertical="center"/>
    </xf>
    <xf numFmtId="0" fontId="8" fillId="3" borderId="69" xfId="0" applyFont="1" applyFill="1" applyBorder="1" applyAlignment="1">
      <alignment vertical="center"/>
    </xf>
    <xf numFmtId="3" fontId="5" fillId="2" borderId="69" xfId="0" applyNumberFormat="1" applyFont="1" applyFill="1" applyBorder="1" applyAlignment="1" applyProtection="1">
      <alignment horizontal="center" vertical="center"/>
      <protection locked="0"/>
    </xf>
    <xf numFmtId="0" fontId="13" fillId="3" borderId="22" xfId="0" applyFont="1" applyFill="1" applyBorder="1" applyAlignment="1">
      <alignment horizontal="center" vertical="center"/>
    </xf>
    <xf numFmtId="3" fontId="25" fillId="2" borderId="95" xfId="0" applyNumberFormat="1" applyFont="1" applyFill="1" applyBorder="1" applyAlignment="1" applyProtection="1">
      <alignment horizontal="center" vertical="center"/>
      <protection locked="0"/>
    </xf>
    <xf numFmtId="3" fontId="25" fillId="2" borderId="96" xfId="0" applyNumberFormat="1" applyFont="1" applyFill="1" applyBorder="1" applyAlignment="1" applyProtection="1">
      <alignment horizontal="center" vertical="center"/>
      <protection locked="0"/>
    </xf>
    <xf numFmtId="49" fontId="5" fillId="3" borderId="3" xfId="0" applyNumberFormat="1" applyFont="1" applyFill="1" applyBorder="1" applyAlignment="1">
      <alignment horizontal="center" vertical="center"/>
    </xf>
    <xf numFmtId="0" fontId="0" fillId="0" borderId="6" xfId="0" applyBorder="1" applyAlignment="1">
      <alignment horizontal="center" vertical="center" wrapText="1"/>
    </xf>
    <xf numFmtId="0" fontId="0" fillId="0" borderId="22" xfId="0" applyBorder="1" applyAlignment="1">
      <alignment horizontal="center" vertical="center"/>
    </xf>
    <xf numFmtId="0" fontId="0" fillId="0" borderId="129" xfId="0" applyBorder="1" applyAlignment="1">
      <alignment horizontal="center" vertical="center"/>
    </xf>
    <xf numFmtId="0" fontId="13" fillId="3" borderId="24" xfId="0" applyFont="1" applyFill="1" applyBorder="1" applyAlignment="1">
      <alignment vertical="center" wrapText="1"/>
    </xf>
    <xf numFmtId="0" fontId="13" fillId="3" borderId="57" xfId="0" applyFont="1" applyFill="1" applyBorder="1" applyAlignment="1">
      <alignment vertical="center" wrapText="1"/>
    </xf>
    <xf numFmtId="0" fontId="8" fillId="3" borderId="96" xfId="0" applyFont="1" applyFill="1" applyBorder="1" applyAlignment="1">
      <alignment vertical="center"/>
    </xf>
    <xf numFmtId="0" fontId="8" fillId="3" borderId="69" xfId="0" applyFont="1" applyFill="1" applyBorder="1" applyAlignment="1">
      <alignment vertical="center" wrapText="1"/>
    </xf>
    <xf numFmtId="0" fontId="8" fillId="3" borderId="24" xfId="0" applyFont="1" applyFill="1" applyBorder="1" applyAlignment="1">
      <alignment vertical="center" wrapText="1" shrinkToFit="1"/>
    </xf>
    <xf numFmtId="0" fontId="8" fillId="3" borderId="57" xfId="0" applyFont="1" applyFill="1" applyBorder="1" applyAlignment="1">
      <alignment vertical="center" wrapText="1" shrinkToFit="1"/>
    </xf>
    <xf numFmtId="0" fontId="8" fillId="3" borderId="22" xfId="0" applyFont="1" applyFill="1" applyBorder="1" applyAlignment="1">
      <alignment vertical="center" wrapText="1" shrinkToFit="1"/>
    </xf>
    <xf numFmtId="0" fontId="8" fillId="3" borderId="68" xfId="0" applyFont="1" applyFill="1" applyBorder="1" applyAlignment="1">
      <alignment vertical="center" wrapText="1" shrinkToFit="1"/>
    </xf>
    <xf numFmtId="3" fontId="5" fillId="2" borderId="69" xfId="0" applyNumberFormat="1" applyFont="1" applyFill="1" applyBorder="1" applyAlignment="1">
      <alignment horizontal="center" vertical="center"/>
    </xf>
    <xf numFmtId="0" fontId="8" fillId="3" borderId="95" xfId="0" applyFont="1" applyFill="1" applyBorder="1" applyAlignment="1">
      <alignment vertical="center" wrapText="1" shrinkToFit="1"/>
    </xf>
    <xf numFmtId="0" fontId="8" fillId="3" borderId="96" xfId="0" applyFont="1" applyFill="1" applyBorder="1" applyAlignment="1">
      <alignment vertical="center" wrapText="1" shrinkToFit="1"/>
    </xf>
    <xf numFmtId="0" fontId="8" fillId="3" borderId="62" xfId="0" applyFont="1" applyFill="1" applyBorder="1" applyAlignment="1">
      <alignment horizontal="center" vertical="center"/>
    </xf>
    <xf numFmtId="0" fontId="8" fillId="3" borderId="88" xfId="0" applyFont="1" applyFill="1" applyBorder="1" applyAlignment="1">
      <alignment horizontal="center" vertical="center"/>
    </xf>
    <xf numFmtId="0" fontId="0" fillId="0" borderId="30" xfId="0" applyBorder="1" applyAlignment="1">
      <alignment horizontal="center" vertical="center"/>
    </xf>
    <xf numFmtId="0" fontId="8" fillId="3" borderId="8" xfId="0" applyFont="1" applyFill="1" applyBorder="1" applyAlignment="1">
      <alignment vertical="center" wrapText="1" shrinkToFit="1"/>
    </xf>
    <xf numFmtId="0" fontId="11" fillId="0" borderId="95" xfId="0" applyFont="1" applyBorder="1" applyAlignment="1">
      <alignment vertical="center" wrapText="1" shrinkToFit="1"/>
    </xf>
    <xf numFmtId="0" fontId="11" fillId="0" borderId="95" xfId="0" applyFont="1" applyBorder="1" applyAlignment="1">
      <alignment vertical="center"/>
    </xf>
    <xf numFmtId="0" fontId="11" fillId="0" borderId="96" xfId="0" applyFont="1" applyBorder="1" applyAlignment="1">
      <alignment vertical="center"/>
    </xf>
    <xf numFmtId="0" fontId="88" fillId="3" borderId="0" xfId="0" applyFont="1" applyFill="1" applyAlignment="1">
      <alignment vertical="center" wrapText="1"/>
    </xf>
    <xf numFmtId="0" fontId="85" fillId="0" borderId="0" xfId="0" applyFont="1" applyAlignment="1">
      <alignment vertical="center" wrapText="1"/>
    </xf>
    <xf numFmtId="0" fontId="0" fillId="7" borderId="81" xfId="0" applyFill="1" applyBorder="1" applyAlignment="1" applyProtection="1">
      <alignment horizontal="center"/>
      <protection locked="0"/>
    </xf>
    <xf numFmtId="0" fontId="0" fillId="0" borderId="81" xfId="0" applyBorder="1" applyProtection="1">
      <protection locked="0"/>
    </xf>
    <xf numFmtId="0" fontId="0" fillId="7" borderId="81" xfId="0" applyFill="1" applyBorder="1" applyProtection="1">
      <protection locked="0"/>
    </xf>
    <xf numFmtId="0" fontId="25" fillId="0" borderId="8"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43" xfId="0" applyFont="1" applyBorder="1" applyAlignment="1" applyProtection="1">
      <alignment horizontal="left" vertical="center"/>
      <protection locked="0"/>
    </xf>
    <xf numFmtId="0" fontId="0" fillId="6" borderId="40" xfId="0" applyFill="1" applyBorder="1"/>
    <xf numFmtId="0" fontId="17" fillId="3" borderId="0" xfId="0" applyFont="1" applyFill="1"/>
    <xf numFmtId="0" fontId="63" fillId="3" borderId="19" xfId="0" applyFont="1" applyFill="1" applyBorder="1" applyAlignment="1">
      <alignment horizontal="left" vertical="center"/>
    </xf>
    <xf numFmtId="0" fontId="42" fillId="0" borderId="0" xfId="0" applyFont="1" applyAlignment="1">
      <alignment horizontal="left" vertical="center"/>
    </xf>
    <xf numFmtId="0" fontId="42" fillId="0" borderId="32" xfId="0" applyFont="1" applyBorder="1" applyAlignment="1">
      <alignment horizontal="left" vertical="center"/>
    </xf>
    <xf numFmtId="0" fontId="42" fillId="6" borderId="70" xfId="0" applyFont="1" applyFill="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85" fillId="3" borderId="0" xfId="0" applyFont="1" applyFill="1" applyAlignment="1">
      <alignment vertical="top" wrapText="1"/>
    </xf>
    <xf numFmtId="0" fontId="85" fillId="0" borderId="0" xfId="0" applyFont="1" applyAlignment="1">
      <alignment vertical="top" wrapText="1"/>
    </xf>
    <xf numFmtId="0" fontId="13" fillId="3" borderId="72" xfId="0" applyFont="1" applyFill="1" applyBorder="1" applyAlignment="1">
      <alignment horizontal="center"/>
    </xf>
    <xf numFmtId="0" fontId="0" fillId="0" borderId="110" xfId="0" applyBorder="1"/>
    <xf numFmtId="0" fontId="25" fillId="2" borderId="77" xfId="0" applyFont="1" applyFill="1" applyBorder="1" applyAlignment="1" applyProtection="1">
      <alignment horizontal="right" vertical="center"/>
      <protection locked="0"/>
    </xf>
    <xf numFmtId="0" fontId="3" fillId="0" borderId="40" xfId="0" applyFont="1" applyBorder="1" applyAlignment="1" applyProtection="1">
      <alignment horizontal="right" vertical="center"/>
      <protection locked="0"/>
    </xf>
    <xf numFmtId="0" fontId="11" fillId="0" borderId="40" xfId="0" applyFont="1" applyBorder="1" applyAlignment="1">
      <alignment horizontal="right" wrapText="1"/>
    </xf>
    <xf numFmtId="0" fontId="0" fillId="0" borderId="40" xfId="0" applyBorder="1" applyAlignment="1">
      <alignment horizontal="right" wrapText="1"/>
    </xf>
    <xf numFmtId="0" fontId="11" fillId="0" borderId="119" xfId="0" applyFont="1" applyBorder="1" applyAlignment="1" applyProtection="1">
      <alignment wrapText="1"/>
      <protection locked="0"/>
    </xf>
    <xf numFmtId="0" fontId="0" fillId="0" borderId="120" xfId="0" applyBorder="1" applyProtection="1">
      <protection locked="0"/>
    </xf>
    <xf numFmtId="0" fontId="0" fillId="0" borderId="121" xfId="0" applyBorder="1" applyProtection="1">
      <protection locked="0"/>
    </xf>
    <xf numFmtId="0" fontId="0" fillId="7" borderId="75" xfId="0" applyFill="1" applyBorder="1" applyAlignment="1" applyProtection="1">
      <alignment horizontal="center"/>
      <protection locked="0"/>
    </xf>
    <xf numFmtId="49" fontId="3" fillId="7" borderId="0" xfId="0" applyNumberFormat="1" applyFont="1" applyFill="1" applyAlignment="1">
      <alignment horizontal="left"/>
    </xf>
    <xf numFmtId="0" fontId="0" fillId="7" borderId="72"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80"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1" fillId="7" borderId="0" xfId="0" applyFont="1" applyFill="1" applyAlignment="1" applyProtection="1">
      <alignment horizontal="center" vertical="center"/>
      <protection locked="0"/>
    </xf>
    <xf numFmtId="49" fontId="0" fillId="7" borderId="81" xfId="0" applyNumberFormat="1" applyFill="1" applyBorder="1" applyAlignment="1" applyProtection="1">
      <alignment horizontal="center"/>
      <protection locked="0"/>
    </xf>
    <xf numFmtId="0" fontId="0" fillId="7" borderId="0" xfId="0" applyFill="1"/>
    <xf numFmtId="3" fontId="0" fillId="7" borderId="81" xfId="0" applyNumberFormat="1" applyFill="1" applyBorder="1" applyAlignment="1" applyProtection="1">
      <alignment horizontal="center"/>
      <protection locked="0"/>
    </xf>
    <xf numFmtId="0" fontId="0" fillId="7" borderId="75" xfId="0" applyFill="1" applyBorder="1" applyProtection="1">
      <protection locked="0"/>
    </xf>
    <xf numFmtId="0" fontId="9" fillId="3" borderId="77" xfId="0" applyFont="1" applyFill="1" applyBorder="1"/>
    <xf numFmtId="0" fontId="0" fillId="0" borderId="78" xfId="0" applyBorder="1"/>
    <xf numFmtId="0" fontId="18" fillId="2" borderId="19" xfId="0" applyFont="1" applyFill="1" applyBorder="1"/>
    <xf numFmtId="0" fontId="0" fillId="7" borderId="32" xfId="0" applyFill="1" applyBorder="1"/>
    <xf numFmtId="0" fontId="6" fillId="2" borderId="79" xfId="0" applyFont="1" applyFill="1" applyBorder="1" applyAlignment="1">
      <alignment horizontal="center"/>
    </xf>
    <xf numFmtId="0" fontId="0" fillId="7" borderId="70" xfId="0" applyFill="1" applyBorder="1" applyAlignment="1">
      <alignment horizontal="center"/>
    </xf>
    <xf numFmtId="0" fontId="0" fillId="7" borderId="76" xfId="0" applyFill="1" applyBorder="1" applyAlignment="1">
      <alignment horizontal="center"/>
    </xf>
    <xf numFmtId="0" fontId="0" fillId="6" borderId="40" xfId="0" applyFill="1" applyBorder="1" applyAlignment="1">
      <alignment horizontal="center"/>
    </xf>
    <xf numFmtId="0" fontId="8" fillId="3" borderId="5" xfId="0" applyFont="1" applyFill="1" applyBorder="1" applyAlignment="1">
      <alignment vertical="center" wrapText="1" shrinkToFit="1"/>
    </xf>
    <xf numFmtId="0" fontId="11" fillId="0" borderId="24" xfId="0" applyFont="1" applyBorder="1" applyAlignment="1">
      <alignment vertical="center" wrapText="1" shrinkToFit="1"/>
    </xf>
    <xf numFmtId="0" fontId="11" fillId="0" borderId="24" xfId="0" applyFont="1" applyBorder="1" applyAlignment="1">
      <alignment vertical="center"/>
    </xf>
    <xf numFmtId="0" fontId="11" fillId="0" borderId="57" xfId="0" applyFont="1" applyBorder="1" applyAlignment="1">
      <alignment vertical="center"/>
    </xf>
    <xf numFmtId="0" fontId="6" fillId="3" borderId="0" xfId="0" applyFont="1" applyFill="1"/>
    <xf numFmtId="0" fontId="12" fillId="0" borderId="0" xfId="0" applyFont="1"/>
    <xf numFmtId="0" fontId="63" fillId="3" borderId="0" xfId="0" applyFont="1" applyFill="1" applyAlignment="1">
      <alignment vertical="center" wrapText="1"/>
    </xf>
    <xf numFmtId="0" fontId="42" fillId="0" borderId="0" xfId="0" applyFont="1" applyAlignment="1">
      <alignment vertical="center" wrapText="1"/>
    </xf>
    <xf numFmtId="0" fontId="8" fillId="3" borderId="4" xfId="0" applyFont="1" applyFill="1" applyBorder="1" applyAlignment="1">
      <alignment vertical="center"/>
    </xf>
    <xf numFmtId="0" fontId="11" fillId="0" borderId="22" xfId="0" applyFont="1" applyBorder="1" applyAlignment="1">
      <alignment vertical="center"/>
    </xf>
    <xf numFmtId="0" fontId="11" fillId="0" borderId="68" xfId="0" applyFont="1" applyBorder="1" applyAlignment="1">
      <alignment vertical="center"/>
    </xf>
    <xf numFmtId="0" fontId="63" fillId="3" borderId="77" xfId="0" applyFont="1" applyFill="1" applyBorder="1" applyAlignment="1">
      <alignment horizontal="left" vertical="center"/>
    </xf>
    <xf numFmtId="0" fontId="42" fillId="0" borderId="40" xfId="0" applyFont="1" applyBorder="1" applyAlignment="1">
      <alignment horizontal="left" vertical="center"/>
    </xf>
    <xf numFmtId="0" fontId="42" fillId="0" borderId="78" xfId="0" applyFont="1" applyBorder="1" applyAlignment="1">
      <alignment horizontal="left" vertical="center"/>
    </xf>
    <xf numFmtId="0" fontId="57" fillId="3" borderId="19" xfId="0" applyFont="1" applyFill="1" applyBorder="1" applyAlignment="1">
      <alignment horizontal="left" vertical="center"/>
    </xf>
    <xf numFmtId="0" fontId="17" fillId="3" borderId="19" xfId="0" applyFont="1" applyFill="1" applyBorder="1" applyAlignment="1">
      <alignment vertical="center"/>
    </xf>
    <xf numFmtId="0" fontId="0" fillId="0" borderId="0" xfId="0" applyAlignment="1">
      <alignment vertical="center"/>
    </xf>
    <xf numFmtId="0" fontId="0" fillId="6" borderId="32" xfId="0" applyFill="1" applyBorder="1" applyAlignment="1">
      <alignment vertical="center"/>
    </xf>
    <xf numFmtId="0" fontId="17" fillId="3" borderId="79" xfId="0" applyFont="1" applyFill="1" applyBorder="1" applyAlignment="1">
      <alignment vertical="center"/>
    </xf>
    <xf numFmtId="0" fontId="2" fillId="6" borderId="0" xfId="0" applyFont="1" applyFill="1"/>
    <xf numFmtId="0" fontId="15" fillId="6" borderId="25" xfId="0" applyFont="1" applyFill="1" applyBorder="1" applyAlignment="1">
      <alignment horizontal="center"/>
    </xf>
    <xf numFmtId="0" fontId="0" fillId="6" borderId="25" xfId="0" applyFill="1" applyBorder="1" applyAlignment="1">
      <alignment horizontal="center"/>
    </xf>
    <xf numFmtId="0" fontId="0" fillId="6" borderId="25" xfId="0" applyFill="1" applyBorder="1"/>
    <xf numFmtId="0" fontId="35" fillId="3" borderId="0" xfId="0" applyFont="1" applyFill="1" applyAlignment="1">
      <alignment vertical="center" wrapText="1"/>
    </xf>
    <xf numFmtId="0" fontId="35" fillId="3" borderId="0" xfId="0" applyFont="1" applyFill="1"/>
    <xf numFmtId="0" fontId="0" fillId="6" borderId="70" xfId="0" applyFill="1" applyBorder="1" applyAlignment="1">
      <alignment vertical="center"/>
    </xf>
    <xf numFmtId="0" fontId="0" fillId="6" borderId="76" xfId="0" applyFill="1" applyBorder="1" applyAlignment="1">
      <alignment vertical="center"/>
    </xf>
    <xf numFmtId="0" fontId="11"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32" xfId="0" applyFill="1" applyBorder="1" applyAlignment="1">
      <alignment horizontal="center" vertical="center" wrapText="1"/>
    </xf>
    <xf numFmtId="0" fontId="13" fillId="2" borderId="35" xfId="0" applyFont="1" applyFill="1" applyBorder="1"/>
    <xf numFmtId="0" fontId="11" fillId="7" borderId="42" xfId="0" applyFont="1" applyFill="1" applyBorder="1"/>
    <xf numFmtId="0" fontId="63" fillId="3" borderId="0" xfId="0" applyFont="1" applyFill="1" applyAlignment="1">
      <alignment horizontal="left" vertical="center"/>
    </xf>
    <xf numFmtId="0" fontId="57" fillId="2" borderId="79" xfId="0" applyFont="1" applyFill="1" applyBorder="1" applyAlignment="1">
      <alignment horizontal="left" vertical="center"/>
    </xf>
    <xf numFmtId="0" fontId="76" fillId="7" borderId="70" xfId="0" applyFont="1" applyFill="1" applyBorder="1" applyAlignment="1">
      <alignment horizontal="left" vertical="center"/>
    </xf>
    <xf numFmtId="0" fontId="76" fillId="7" borderId="76" xfId="0" applyFont="1" applyFill="1" applyBorder="1" applyAlignment="1">
      <alignment horizontal="left" vertical="center"/>
    </xf>
    <xf numFmtId="14" fontId="25" fillId="2" borderId="15" xfId="0" applyNumberFormat="1" applyFont="1" applyFill="1" applyBorder="1" applyAlignment="1">
      <alignment horizontal="center" vertical="center"/>
    </xf>
    <xf numFmtId="0" fontId="0" fillId="2" borderId="25" xfId="0" applyFill="1" applyBorder="1" applyAlignment="1">
      <alignment horizontal="center" vertical="center"/>
    </xf>
    <xf numFmtId="14" fontId="25" fillId="2" borderId="8" xfId="0" applyNumberFormat="1" applyFont="1" applyFill="1" applyBorder="1" applyAlignment="1" applyProtection="1">
      <alignment horizontal="center" vertical="center"/>
      <protection locked="0"/>
    </xf>
    <xf numFmtId="0" fontId="26" fillId="2" borderId="69" xfId="0" applyFont="1" applyFill="1" applyBorder="1" applyAlignment="1" applyProtection="1">
      <alignment horizontal="center" vertical="center"/>
      <protection locked="0"/>
    </xf>
    <xf numFmtId="0" fontId="46" fillId="9" borderId="0" xfId="0" applyFont="1" applyFill="1" applyAlignment="1">
      <alignment horizontal="center"/>
    </xf>
    <xf numFmtId="0" fontId="29" fillId="9" borderId="70" xfId="0" applyFont="1" applyFill="1" applyBorder="1" applyAlignment="1">
      <alignment horizontal="center"/>
    </xf>
    <xf numFmtId="0" fontId="38" fillId="2" borderId="40" xfId="0" applyFont="1" applyFill="1" applyBorder="1" applyAlignment="1" applyProtection="1">
      <alignment horizontal="right"/>
      <protection locked="0"/>
    </xf>
    <xf numFmtId="0" fontId="0" fillId="7" borderId="40" xfId="0" applyFill="1" applyBorder="1" applyProtection="1">
      <protection locked="0"/>
    </xf>
    <xf numFmtId="0" fontId="30" fillId="9" borderId="40" xfId="0" applyFont="1" applyFill="1" applyBorder="1"/>
    <xf numFmtId="0" fontId="37" fillId="9" borderId="0" xfId="0" applyFont="1" applyFill="1" applyAlignment="1">
      <alignment horizontal="center"/>
    </xf>
    <xf numFmtId="0" fontId="23" fillId="2" borderId="0" xfId="0" applyFont="1" applyFill="1" applyAlignment="1" applyProtection="1">
      <alignment horizontal="center"/>
      <protection locked="0"/>
    </xf>
    <xf numFmtId="0" fontId="5" fillId="9" borderId="0" xfId="0" applyFont="1" applyFill="1"/>
    <xf numFmtId="0" fontId="5" fillId="9" borderId="70" xfId="0" applyFont="1" applyFill="1" applyBorder="1"/>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13" fillId="3" borderId="16" xfId="0" applyFont="1" applyFill="1" applyBorder="1" applyAlignment="1">
      <alignment vertical="center" wrapText="1"/>
    </xf>
    <xf numFmtId="0" fontId="0" fillId="0" borderId="58" xfId="0" applyBorder="1" applyAlignment="1">
      <alignment vertical="center"/>
    </xf>
    <xf numFmtId="0" fontId="14" fillId="3" borderId="0" xfId="0" applyFont="1" applyFill="1" applyAlignment="1">
      <alignment vertical="center" wrapText="1"/>
    </xf>
    <xf numFmtId="0" fontId="11" fillId="0" borderId="0" xfId="0" applyFont="1" applyAlignment="1">
      <alignment vertical="center" wrapText="1"/>
    </xf>
    <xf numFmtId="3" fontId="26" fillId="2" borderId="95" xfId="0" applyNumberFormat="1" applyFont="1" applyFill="1" applyBorder="1" applyAlignment="1" applyProtection="1">
      <alignment horizontal="center" vertical="center"/>
      <protection locked="0"/>
    </xf>
    <xf numFmtId="3" fontId="26" fillId="2" borderId="96" xfId="0" applyNumberFormat="1" applyFont="1" applyFill="1" applyBorder="1" applyAlignment="1" applyProtection="1">
      <alignment horizontal="center" vertical="center"/>
      <protection locked="0"/>
    </xf>
    <xf numFmtId="0" fontId="0" fillId="6" borderId="58" xfId="0" applyFill="1" applyBorder="1" applyAlignment="1">
      <alignment vertical="center" wrapText="1"/>
    </xf>
    <xf numFmtId="0" fontId="0" fillId="6" borderId="4" xfId="0" applyFill="1" applyBorder="1" applyAlignment="1">
      <alignment vertical="center"/>
    </xf>
    <xf numFmtId="0" fontId="0" fillId="6" borderId="22" xfId="0" applyFill="1" applyBorder="1" applyAlignment="1">
      <alignment vertical="center"/>
    </xf>
    <xf numFmtId="0" fontId="0" fillId="6" borderId="68" xfId="0" applyFill="1" applyBorder="1" applyAlignment="1">
      <alignment vertical="center"/>
    </xf>
    <xf numFmtId="0" fontId="8" fillId="3"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68" xfId="0" applyBorder="1" applyAlignment="1">
      <alignment vertical="center" wrapText="1" shrinkToFit="1"/>
    </xf>
    <xf numFmtId="0" fontId="14" fillId="3" borderId="0" xfId="0" applyFont="1" applyFill="1" applyAlignment="1">
      <alignment wrapText="1" shrinkToFit="1"/>
    </xf>
    <xf numFmtId="0" fontId="50" fillId="3" borderId="0" xfId="0" applyFont="1" applyFill="1"/>
    <xf numFmtId="0" fontId="51" fillId="0" borderId="0" xfId="0" applyFont="1"/>
    <xf numFmtId="0" fontId="51" fillId="0" borderId="32" xfId="0" applyFont="1" applyBorder="1"/>
    <xf numFmtId="0" fontId="20" fillId="3" borderId="0" xfId="0" applyFont="1" applyFill="1"/>
    <xf numFmtId="0" fontId="42" fillId="0" borderId="0" xfId="0" applyFont="1"/>
    <xf numFmtId="0" fontId="13" fillId="3" borderId="0" xfId="0" applyFont="1" applyFill="1" applyAlignment="1">
      <alignment horizontal="center"/>
    </xf>
    <xf numFmtId="0" fontId="11" fillId="0" borderId="0" xfId="0" applyFont="1" applyAlignment="1">
      <alignment horizontal="center"/>
    </xf>
    <xf numFmtId="0" fontId="0" fillId="6" borderId="70" xfId="0" applyFill="1" applyBorder="1"/>
    <xf numFmtId="0" fontId="5" fillId="3" borderId="94" xfId="0" applyFont="1" applyFill="1" applyBorder="1" applyAlignment="1">
      <alignment vertical="center"/>
    </xf>
    <xf numFmtId="0" fontId="5" fillId="3" borderId="95" xfId="0" applyFont="1" applyFill="1" applyBorder="1" applyAlignment="1">
      <alignment vertical="center"/>
    </xf>
    <xf numFmtId="0" fontId="5" fillId="3" borderId="115" xfId="0" applyFont="1" applyFill="1" applyBorder="1" applyAlignment="1">
      <alignment vertical="center"/>
    </xf>
    <xf numFmtId="0" fontId="8" fillId="3" borderId="33" xfId="0" applyFont="1" applyFill="1" applyBorder="1" applyAlignment="1">
      <alignment horizontal="center" vertical="center"/>
    </xf>
    <xf numFmtId="0" fontId="8" fillId="3" borderId="22" xfId="0" applyFont="1" applyFill="1" applyBorder="1" applyAlignment="1">
      <alignment horizontal="center" vertical="center"/>
    </xf>
    <xf numFmtId="3" fontId="5" fillId="2" borderId="94" xfId="0" applyNumberFormat="1" applyFont="1" applyFill="1" applyBorder="1" applyAlignment="1">
      <alignment horizontal="center" vertical="center"/>
    </xf>
    <xf numFmtId="3" fontId="26" fillId="2" borderId="95" xfId="0" applyNumberFormat="1" applyFont="1" applyFill="1" applyBorder="1" applyAlignment="1">
      <alignment horizontal="center" vertical="center"/>
    </xf>
    <xf numFmtId="3" fontId="26" fillId="2" borderId="96" xfId="0" applyNumberFormat="1" applyFont="1" applyFill="1" applyBorder="1" applyAlignment="1">
      <alignment horizontal="center" vertical="center"/>
    </xf>
    <xf numFmtId="3" fontId="5" fillId="3" borderId="94" xfId="0" applyNumberFormat="1" applyFont="1" applyFill="1" applyBorder="1" applyAlignment="1">
      <alignment horizontal="center" vertical="center"/>
    </xf>
    <xf numFmtId="3" fontId="3" fillId="3" borderId="95" xfId="0" applyNumberFormat="1" applyFont="1" applyFill="1" applyBorder="1" applyAlignment="1">
      <alignment horizontal="center" vertical="center"/>
    </xf>
    <xf numFmtId="3" fontId="3" fillId="3" borderId="96" xfId="0" applyNumberFormat="1" applyFont="1" applyFill="1" applyBorder="1" applyAlignment="1">
      <alignment horizontal="center" vertical="center"/>
    </xf>
    <xf numFmtId="3" fontId="25" fillId="2" borderId="16" xfId="0" applyNumberFormat="1" applyFont="1" applyFill="1" applyBorder="1" applyAlignment="1" applyProtection="1">
      <alignment horizontal="center" vertical="center" wrapText="1"/>
      <protection locked="0"/>
    </xf>
    <xf numFmtId="3" fontId="26" fillId="7" borderId="20" xfId="0" applyNumberFormat="1" applyFont="1" applyFill="1" applyBorder="1" applyAlignment="1" applyProtection="1">
      <alignment horizontal="center" vertical="center"/>
      <protection locked="0"/>
    </xf>
    <xf numFmtId="3" fontId="26" fillId="7" borderId="18" xfId="0" applyNumberFormat="1" applyFont="1" applyFill="1" applyBorder="1" applyAlignment="1" applyProtection="1">
      <alignment horizontal="center" vertical="center"/>
      <protection locked="0"/>
    </xf>
    <xf numFmtId="0" fontId="17" fillId="3" borderId="0" xfId="0" applyFont="1" applyFill="1" applyAlignment="1">
      <alignment vertical="center"/>
    </xf>
    <xf numFmtId="0" fontId="42" fillId="0" borderId="0" xfId="0" applyFont="1" applyAlignment="1">
      <alignment vertical="center"/>
    </xf>
    <xf numFmtId="0" fontId="7" fillId="3" borderId="0" xfId="0" applyFont="1" applyFill="1" applyAlignment="1">
      <alignment horizontal="left" vertical="center" wrapText="1"/>
    </xf>
    <xf numFmtId="0" fontId="12" fillId="0" borderId="0" xfId="0" applyFont="1" applyAlignment="1">
      <alignment horizontal="left" vertical="center"/>
    </xf>
    <xf numFmtId="0" fontId="13" fillId="3" borderId="0" xfId="0" applyFont="1" applyFill="1" applyAlignment="1">
      <alignment vertical="center" wrapText="1"/>
    </xf>
    <xf numFmtId="0" fontId="0" fillId="6" borderId="0" xfId="0" applyFill="1" applyAlignment="1">
      <alignment vertical="center" wrapText="1"/>
    </xf>
    <xf numFmtId="0" fontId="0" fillId="0" borderId="95" xfId="0" applyBorder="1" applyAlignment="1">
      <alignment vertical="center" wrapText="1" shrinkToFit="1"/>
    </xf>
    <xf numFmtId="0" fontId="0" fillId="0" borderId="96" xfId="0" applyBorder="1" applyAlignment="1">
      <alignment vertical="center" wrapText="1" shrinkToFit="1"/>
    </xf>
    <xf numFmtId="3" fontId="3" fillId="2" borderId="24" xfId="0" applyNumberFormat="1" applyFont="1" applyFill="1" applyBorder="1" applyAlignment="1">
      <alignment horizontal="center" vertical="center"/>
    </xf>
    <xf numFmtId="3" fontId="3" fillId="2" borderId="57" xfId="0" applyNumberFormat="1" applyFont="1" applyFill="1" applyBorder="1" applyAlignment="1">
      <alignment horizontal="center" vertical="center"/>
    </xf>
    <xf numFmtId="3" fontId="25" fillId="2" borderId="20" xfId="0" applyNumberFormat="1" applyFont="1" applyFill="1" applyBorder="1" applyAlignment="1" applyProtection="1">
      <alignment horizontal="center" vertical="center" wrapText="1"/>
      <protection locked="0"/>
    </xf>
    <xf numFmtId="3" fontId="26" fillId="2" borderId="18" xfId="0" applyNumberFormat="1" applyFont="1" applyFill="1" applyBorder="1" applyAlignment="1" applyProtection="1">
      <alignment horizontal="center" vertical="center"/>
      <protection locked="0"/>
    </xf>
    <xf numFmtId="49" fontId="12" fillId="3" borderId="0" xfId="0" applyNumberFormat="1" applyFont="1" applyFill="1" applyAlignment="1">
      <alignment horizontal="center"/>
    </xf>
    <xf numFmtId="0" fontId="34" fillId="3" borderId="0" xfId="0" applyFont="1" applyFill="1" applyAlignment="1">
      <alignment horizontal="center"/>
    </xf>
    <xf numFmtId="49" fontId="48" fillId="3" borderId="0" xfId="0" applyNumberFormat="1" applyFont="1" applyFill="1" applyAlignment="1">
      <alignment horizontal="left"/>
    </xf>
    <xf numFmtId="0" fontId="5" fillId="3" borderId="123" xfId="0" applyFont="1" applyFill="1" applyBorder="1" applyAlignment="1">
      <alignment vertical="center"/>
    </xf>
    <xf numFmtId="0" fontId="5" fillId="3" borderId="7" xfId="0" applyFont="1" applyFill="1" applyBorder="1" applyAlignment="1">
      <alignment vertical="center"/>
    </xf>
    <xf numFmtId="0" fontId="5" fillId="3" borderId="24" xfId="0" applyFont="1" applyFill="1" applyBorder="1" applyAlignment="1">
      <alignment vertical="center"/>
    </xf>
    <xf numFmtId="0" fontId="5" fillId="3" borderId="44" xfId="0" applyFont="1" applyFill="1" applyBorder="1" applyAlignment="1">
      <alignment vertical="center"/>
    </xf>
    <xf numFmtId="0" fontId="13" fillId="3" borderId="40" xfId="0" applyFont="1" applyFill="1" applyBorder="1" applyAlignment="1">
      <alignment vertical="center" wrapText="1"/>
    </xf>
    <xf numFmtId="0" fontId="0" fillId="0" borderId="40" xfId="0" applyBorder="1" applyAlignment="1">
      <alignment vertical="center"/>
    </xf>
    <xf numFmtId="0" fontId="0" fillId="0" borderId="24" xfId="0" applyBorder="1" applyAlignment="1">
      <alignment vertical="center" wrapText="1" shrinkToFit="1"/>
    </xf>
    <xf numFmtId="0" fontId="0" fillId="0" borderId="57" xfId="0" applyBorder="1" applyAlignment="1">
      <alignment vertical="center" wrapText="1" shrinkToFit="1"/>
    </xf>
    <xf numFmtId="3" fontId="26" fillId="7" borderId="20" xfId="0" applyNumberFormat="1" applyFont="1" applyFill="1" applyBorder="1" applyAlignment="1" applyProtection="1">
      <alignment horizontal="center" vertical="center" wrapText="1"/>
      <protection locked="0"/>
    </xf>
    <xf numFmtId="0" fontId="3" fillId="0" borderId="0" xfId="0" applyFont="1" applyAlignment="1">
      <alignment horizontal="left" vertical="center"/>
    </xf>
    <xf numFmtId="0" fontId="2" fillId="6" borderId="27" xfId="0" applyFont="1" applyFill="1" applyBorder="1" applyAlignment="1">
      <alignment horizontal="left" vertical="center"/>
    </xf>
    <xf numFmtId="0" fontId="0" fillId="0" borderId="36" xfId="0" applyBorder="1" applyAlignment="1">
      <alignment horizontal="left" vertical="center"/>
    </xf>
    <xf numFmtId="3" fontId="3" fillId="7" borderId="39"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3" fontId="3"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2" fillId="6" borderId="39" xfId="0" applyFont="1" applyFill="1" applyBorder="1" applyAlignment="1">
      <alignment horizontal="left" vertical="center"/>
    </xf>
    <xf numFmtId="0" fontId="0" fillId="0" borderId="18" xfId="0" applyBorder="1" applyAlignment="1">
      <alignment horizontal="left" vertical="center"/>
    </xf>
    <xf numFmtId="0" fontId="5" fillId="2"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0" fillId="0" borderId="0" xfId="0" applyAlignment="1">
      <alignment horizontal="left" vertical="center"/>
    </xf>
    <xf numFmtId="0" fontId="11" fillId="6" borderId="70" xfId="0" applyFont="1" applyFill="1" applyBorder="1" applyAlignment="1">
      <alignment horizontal="center" vertical="center" wrapText="1"/>
    </xf>
    <xf numFmtId="0" fontId="0" fillId="0" borderId="40" xfId="0" applyBorder="1" applyAlignment="1">
      <alignment vertical="center" wrapText="1"/>
    </xf>
    <xf numFmtId="0" fontId="5" fillId="2"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8" xfId="0" applyBorder="1" applyAlignment="1" applyProtection="1">
      <alignment vertical="center" wrapText="1"/>
      <protection locked="0"/>
    </xf>
    <xf numFmtId="0" fontId="11" fillId="6" borderId="40" xfId="0" applyFont="1" applyFill="1" applyBorder="1" applyAlignment="1">
      <alignment horizontal="center" vertical="center"/>
    </xf>
    <xf numFmtId="0" fontId="5" fillId="2"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3" fontId="3"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2" fillId="6" borderId="2" xfId="0" applyFont="1" applyFill="1" applyBorder="1" applyAlignment="1">
      <alignment horizontal="left" vertical="center"/>
    </xf>
    <xf numFmtId="0" fontId="0" fillId="0" borderId="1" xfId="0" applyBorder="1" applyAlignment="1">
      <alignment horizontal="left" vertical="center"/>
    </xf>
    <xf numFmtId="0" fontId="8" fillId="3" borderId="11" xfId="0" applyFont="1" applyFill="1" applyBorder="1" applyAlignment="1">
      <alignment horizontal="left" vertical="center" wrapText="1"/>
    </xf>
    <xf numFmtId="0" fontId="0" fillId="0" borderId="3" xfId="0" applyBorder="1" applyAlignment="1">
      <alignment vertical="center" wrapText="1"/>
    </xf>
    <xf numFmtId="0" fontId="2" fillId="6" borderId="3" xfId="0" applyFont="1" applyFill="1" applyBorder="1" applyAlignment="1">
      <alignment horizontal="left" vertical="center"/>
    </xf>
    <xf numFmtId="0" fontId="0" fillId="0" borderId="9" xfId="0" applyBorder="1" applyAlignment="1">
      <alignment horizontal="left" vertical="center"/>
    </xf>
    <xf numFmtId="3" fontId="3" fillId="7" borderId="3" xfId="0" applyNumberFormat="1" applyFont="1" applyFill="1" applyBorder="1" applyAlignment="1">
      <alignment horizontal="center" vertical="center"/>
    </xf>
    <xf numFmtId="3" fontId="0" fillId="0" borderId="3" xfId="0" applyNumberFormat="1" applyBorder="1" applyAlignment="1">
      <alignment horizontal="center" vertical="center"/>
    </xf>
    <xf numFmtId="0" fontId="5" fillId="2" borderId="7" xfId="0" applyFont="1" applyFill="1" applyBorder="1" applyAlignment="1" applyProtection="1">
      <alignment horizontal="center"/>
      <protection locked="0"/>
    </xf>
    <xf numFmtId="0" fontId="0" fillId="7" borderId="57" xfId="0" applyFill="1" applyBorder="1" applyAlignment="1" applyProtection="1">
      <alignment horizontal="center"/>
      <protection locked="0"/>
    </xf>
    <xf numFmtId="0" fontId="44" fillId="3" borderId="0" xfId="0" applyFont="1" applyFill="1" applyAlignment="1">
      <alignment horizontal="left" vertical="center"/>
    </xf>
    <xf numFmtId="0" fontId="36" fillId="0" borderId="0" xfId="0" applyFont="1" applyAlignment="1">
      <alignment vertical="center"/>
    </xf>
    <xf numFmtId="49" fontId="28" fillId="7" borderId="2" xfId="0" applyNumberFormat="1" applyFont="1" applyFill="1" applyBorder="1" applyAlignment="1" applyProtection="1">
      <alignment horizontal="center"/>
      <protection locked="0"/>
    </xf>
    <xf numFmtId="0" fontId="8" fillId="3" borderId="2" xfId="0" applyFont="1" applyFill="1" applyBorder="1" applyAlignment="1">
      <alignment horizontal="center" vertical="center"/>
    </xf>
    <xf numFmtId="0" fontId="11" fillId="0" borderId="2" xfId="0" applyFont="1" applyBorder="1" applyAlignment="1">
      <alignment horizontal="center" vertical="center"/>
    </xf>
    <xf numFmtId="0" fontId="5" fillId="2" borderId="26" xfId="0" applyFont="1" applyFill="1" applyBorder="1" applyAlignment="1" applyProtection="1">
      <alignment horizontal="center"/>
      <protection locked="0"/>
    </xf>
    <xf numFmtId="0" fontId="0" fillId="7" borderId="69" xfId="0" applyFill="1" applyBorder="1" applyAlignment="1" applyProtection="1">
      <alignment horizontal="center"/>
      <protection locked="0"/>
    </xf>
    <xf numFmtId="0" fontId="8" fillId="3" borderId="79" xfId="0" applyFont="1" applyFill="1" applyBorder="1" applyAlignment="1">
      <alignment horizontal="left"/>
    </xf>
    <xf numFmtId="0" fontId="11" fillId="0" borderId="70" xfId="0" applyFont="1" applyBorder="1" applyAlignment="1">
      <alignment horizontal="left"/>
    </xf>
    <xf numFmtId="0" fontId="11" fillId="0" borderId="76" xfId="0" applyFont="1" applyBorder="1" applyAlignment="1">
      <alignment horizontal="left"/>
    </xf>
    <xf numFmtId="0" fontId="46" fillId="3" borderId="0" xfId="0" applyFont="1" applyFill="1" applyAlignment="1">
      <alignment horizontal="left"/>
    </xf>
    <xf numFmtId="0" fontId="36" fillId="0" borderId="0" xfId="0" applyFont="1" applyAlignment="1">
      <alignment horizontal="left"/>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0" fontId="44" fillId="3" borderId="0" xfId="0" applyFont="1" applyFill="1"/>
    <xf numFmtId="0" fontId="36" fillId="0" borderId="0" xfId="0" applyFont="1"/>
    <xf numFmtId="0" fontId="13" fillId="3" borderId="4" xfId="0" applyFont="1" applyFill="1" applyBorder="1"/>
    <xf numFmtId="0" fontId="11" fillId="0" borderId="22" xfId="0" applyFont="1" applyBorder="1"/>
    <xf numFmtId="0" fontId="11" fillId="0" borderId="6" xfId="0" applyFont="1" applyBorder="1"/>
    <xf numFmtId="0" fontId="47" fillId="6" borderId="70" xfId="0" applyFont="1" applyFill="1" applyBorder="1"/>
    <xf numFmtId="0" fontId="47" fillId="6" borderId="0" xfId="0" applyFont="1" applyFill="1"/>
    <xf numFmtId="0" fontId="13" fillId="3" borderId="62" xfId="0" applyFont="1" applyFill="1" applyBorder="1" applyAlignment="1">
      <alignment vertical="center" wrapText="1"/>
    </xf>
    <xf numFmtId="0" fontId="11" fillId="0" borderId="12" xfId="0" applyFont="1" applyBorder="1" applyAlignment="1">
      <alignment vertical="center" wrapText="1"/>
    </xf>
    <xf numFmtId="0" fontId="0" fillId="0" borderId="63" xfId="0" applyBorder="1"/>
    <xf numFmtId="0" fontId="0" fillId="0" borderId="31" xfId="0" applyBorder="1"/>
    <xf numFmtId="0" fontId="24" fillId="6" borderId="2" xfId="0" applyFont="1" applyFill="1" applyBorder="1" applyAlignment="1">
      <alignment horizontal="center"/>
    </xf>
    <xf numFmtId="49" fontId="28" fillId="7" borderId="3" xfId="0" applyNumberFormat="1" applyFont="1" applyFill="1" applyBorder="1" applyAlignment="1" applyProtection="1">
      <alignment horizontal="center"/>
      <protection locked="0"/>
    </xf>
    <xf numFmtId="0" fontId="24" fillId="6" borderId="33" xfId="0" applyFont="1" applyFill="1" applyBorder="1" applyAlignment="1">
      <alignment vertical="center" wrapText="1" shrinkToFit="1"/>
    </xf>
    <xf numFmtId="0" fontId="24" fillId="6" borderId="22" xfId="0" applyFont="1" applyFill="1" applyBorder="1" applyAlignment="1">
      <alignment vertical="center" wrapText="1" shrinkToFit="1"/>
    </xf>
    <xf numFmtId="0" fontId="24" fillId="6" borderId="68" xfId="0" applyFont="1" applyFill="1" applyBorder="1" applyAlignment="1">
      <alignment vertical="center" wrapText="1" shrinkToFit="1"/>
    </xf>
    <xf numFmtId="0" fontId="24" fillId="6" borderId="33" xfId="0" applyFont="1" applyFill="1" applyBorder="1" applyAlignment="1">
      <alignment horizontal="center" vertical="center"/>
    </xf>
    <xf numFmtId="0" fontId="24" fillId="6" borderId="6" xfId="0" applyFont="1" applyFill="1" applyBorder="1" applyAlignment="1">
      <alignment horizontal="center" vertical="center"/>
    </xf>
    <xf numFmtId="0" fontId="12" fillId="0" borderId="0" xfId="0" applyFont="1" applyAlignment="1">
      <alignment horizontal="left"/>
    </xf>
    <xf numFmtId="0" fontId="13" fillId="3" borderId="40" xfId="0" applyFont="1" applyFill="1" applyBorder="1" applyAlignment="1">
      <alignment wrapText="1"/>
    </xf>
    <xf numFmtId="0" fontId="34" fillId="6" borderId="0" xfId="0" applyFont="1" applyFill="1" applyAlignment="1">
      <alignment vertical="top"/>
    </xf>
    <xf numFmtId="0" fontId="28" fillId="6" borderId="0" xfId="0" applyFont="1" applyFill="1" applyAlignment="1">
      <alignment vertical="top"/>
    </xf>
    <xf numFmtId="0" fontId="43" fillId="6" borderId="0" xfId="0" applyFont="1" applyFill="1"/>
    <xf numFmtId="0" fontId="0" fillId="6" borderId="0" xfId="0" applyFill="1"/>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xf numFmtId="0" fontId="13" fillId="6" borderId="23" xfId="0" applyFont="1" applyFill="1" applyBorder="1" applyAlignment="1">
      <alignment vertical="center"/>
    </xf>
    <xf numFmtId="0" fontId="13" fillId="6" borderId="24" xfId="0" applyFont="1" applyFill="1" applyBorder="1" applyAlignment="1">
      <alignment vertical="center"/>
    </xf>
    <xf numFmtId="0" fontId="0" fillId="6" borderId="4" xfId="0" applyFill="1" applyBorder="1"/>
    <xf numFmtId="0" fontId="0" fillId="0" borderId="68" xfId="0" applyBorder="1"/>
    <xf numFmtId="0" fontId="24" fillId="6" borderId="40" xfId="0" applyFont="1" applyFill="1" applyBorder="1" applyAlignment="1">
      <alignment wrapText="1" shrinkToFit="1"/>
    </xf>
    <xf numFmtId="0" fontId="0" fillId="6" borderId="40" xfId="0" applyFill="1" applyBorder="1" applyAlignment="1">
      <alignment wrapText="1" shrinkToFit="1"/>
    </xf>
    <xf numFmtId="0" fontId="26" fillId="7" borderId="39" xfId="0" applyFont="1" applyFill="1" applyBorder="1" applyAlignment="1" applyProtection="1">
      <alignment horizontal="center"/>
      <protection locked="0"/>
    </xf>
    <xf numFmtId="0" fontId="26" fillId="7" borderId="58" xfId="0" applyFont="1" applyFill="1" applyBorder="1" applyAlignment="1" applyProtection="1">
      <alignment horizontal="center"/>
      <protection locked="0"/>
    </xf>
    <xf numFmtId="14" fontId="25" fillId="2" borderId="59" xfId="0" applyNumberFormat="1" applyFont="1" applyFill="1" applyBorder="1" applyAlignment="1" applyProtection="1">
      <alignment horizontal="center" wrapText="1"/>
      <protection locked="0"/>
    </xf>
    <xf numFmtId="0" fontId="26" fillId="7" borderId="17" xfId="0" applyFont="1" applyFill="1" applyBorder="1" applyAlignment="1" applyProtection="1">
      <alignment horizontal="center"/>
      <protection locked="0"/>
    </xf>
    <xf numFmtId="0" fontId="8" fillId="3" borderId="4" xfId="0" applyFont="1" applyFill="1" applyBorder="1" applyAlignment="1">
      <alignment horizontal="center" vertical="center"/>
    </xf>
    <xf numFmtId="0" fontId="8" fillId="3" borderId="8" xfId="0" applyFont="1" applyFill="1" applyBorder="1" applyAlignment="1">
      <alignment horizontal="center"/>
    </xf>
    <xf numFmtId="0" fontId="0" fillId="0" borderId="69" xfId="0" applyBorder="1"/>
    <xf numFmtId="0" fontId="8" fillId="3" borderId="68" xfId="0" applyFont="1" applyFill="1" applyBorder="1" applyAlignment="1">
      <alignment horizontal="center" vertical="center"/>
    </xf>
    <xf numFmtId="0" fontId="8" fillId="3" borderId="69" xfId="0" applyFont="1" applyFill="1" applyBorder="1" applyAlignment="1">
      <alignment horizontal="center"/>
    </xf>
    <xf numFmtId="0" fontId="8" fillId="3" borderId="5" xfId="0" applyFont="1" applyFill="1" applyBorder="1" applyAlignment="1">
      <alignment vertical="center"/>
    </xf>
    <xf numFmtId="0" fontId="0" fillId="0" borderId="24" xfId="0" applyBorder="1" applyAlignment="1">
      <alignment vertical="center"/>
    </xf>
    <xf numFmtId="0" fontId="5" fillId="2" borderId="26" xfId="0" applyFont="1" applyFill="1" applyBorder="1" applyAlignment="1" applyProtection="1">
      <alignment vertical="center"/>
      <protection locked="0"/>
    </xf>
    <xf numFmtId="0" fontId="8" fillId="3" borderId="70" xfId="0" applyFont="1" applyFill="1" applyBorder="1"/>
    <xf numFmtId="0" fontId="0" fillId="0" borderId="20" xfId="0" applyBorder="1" applyAlignment="1">
      <alignment vertical="center" wrapText="1"/>
    </xf>
    <xf numFmtId="0" fontId="3"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xf numFmtId="0" fontId="0" fillId="3" borderId="0" xfId="0" applyFill="1"/>
    <xf numFmtId="3" fontId="5" fillId="2" borderId="26" xfId="0" applyNumberFormat="1" applyFont="1" applyFill="1" applyBorder="1" applyAlignment="1" applyProtection="1">
      <alignment vertical="center"/>
      <protection locked="0"/>
    </xf>
    <xf numFmtId="3" fontId="0" fillId="0" borderId="69" xfId="0" applyNumberFormat="1" applyBorder="1" applyAlignment="1" applyProtection="1">
      <alignment vertical="center"/>
      <protection locked="0"/>
    </xf>
    <xf numFmtId="3" fontId="5" fillId="2" borderId="26" xfId="0" applyNumberFormat="1" applyFont="1" applyFill="1" applyBorder="1" applyAlignment="1">
      <alignment vertical="center"/>
    </xf>
    <xf numFmtId="3" fontId="0" fillId="0" borderId="69" xfId="0" applyNumberFormat="1" applyBorder="1" applyAlignment="1">
      <alignment vertical="center"/>
    </xf>
    <xf numFmtId="3" fontId="5" fillId="2" borderId="7" xfId="0" applyNumberFormat="1" applyFont="1" applyFill="1" applyBorder="1" applyAlignment="1">
      <alignment horizontal="right" vertical="center"/>
    </xf>
    <xf numFmtId="3" fontId="0" fillId="0" borderId="57" xfId="0" applyNumberFormat="1" applyBorder="1" applyAlignment="1">
      <alignment horizontal="right" vertical="center"/>
    </xf>
    <xf numFmtId="0" fontId="5" fillId="3" borderId="7" xfId="0" applyFont="1" applyFill="1" applyBorder="1"/>
    <xf numFmtId="0" fontId="8" fillId="3" borderId="40" xfId="0" applyFont="1" applyFill="1" applyBorder="1"/>
    <xf numFmtId="0" fontId="0" fillId="6" borderId="68" xfId="0" applyFill="1" applyBorder="1"/>
    <xf numFmtId="0" fontId="8" fillId="3" borderId="24" xfId="0" applyFont="1" applyFill="1" applyBorder="1" applyAlignment="1">
      <alignment vertical="center"/>
    </xf>
    <xf numFmtId="0" fontId="5" fillId="3" borderId="26" xfId="0" applyFont="1" applyFill="1" applyBorder="1"/>
    <xf numFmtId="0" fontId="0" fillId="6" borderId="68" xfId="0" applyFill="1" applyBorder="1" applyAlignment="1">
      <alignment horizontal="center"/>
    </xf>
    <xf numFmtId="0" fontId="0" fillId="6" borderId="6" xfId="0" applyFill="1" applyBorder="1" applyAlignment="1">
      <alignment horizontal="center"/>
    </xf>
    <xf numFmtId="0" fontId="13" fillId="3" borderId="0" xfId="0" applyFont="1" applyFill="1" applyAlignment="1">
      <alignment horizontal="left"/>
    </xf>
    <xf numFmtId="0" fontId="8" fillId="3" borderId="33" xfId="0" applyFont="1" applyFill="1" applyBorder="1" applyAlignment="1">
      <alignment horizontal="center" vertical="center" wrapText="1"/>
    </xf>
    <xf numFmtId="0" fontId="0" fillId="0" borderId="69" xfId="0" applyBorder="1" applyAlignment="1">
      <alignment horizontal="center"/>
    </xf>
    <xf numFmtId="0" fontId="13" fillId="3" borderId="59" xfId="0" applyFont="1" applyFill="1" applyBorder="1" applyAlignment="1">
      <alignment horizontal="left" vertical="center"/>
    </xf>
    <xf numFmtId="0" fontId="0" fillId="0" borderId="17" xfId="0" applyBorder="1" applyAlignment="1">
      <alignment horizontal="left" vertical="center"/>
    </xf>
    <xf numFmtId="3" fontId="0" fillId="7" borderId="69" xfId="0" applyNumberFormat="1" applyFill="1" applyBorder="1" applyAlignment="1" applyProtection="1">
      <alignment horizontal="center" vertical="center"/>
      <protection locked="0"/>
    </xf>
    <xf numFmtId="0" fontId="8" fillId="3" borderId="26" xfId="0" applyFont="1" applyFill="1" applyBorder="1"/>
    <xf numFmtId="3" fontId="0" fillId="7" borderId="69" xfId="0" applyNumberFormat="1" applyFill="1" applyBorder="1" applyAlignment="1">
      <alignment horizontal="center" vertical="center"/>
    </xf>
    <xf numFmtId="0" fontId="8" fillId="3" borderId="57" xfId="0" applyFont="1" applyFill="1" applyBorder="1" applyAlignment="1">
      <alignment vertical="center" wrapText="1"/>
    </xf>
    <xf numFmtId="0" fontId="8" fillId="3" borderId="0" xfId="0" applyFont="1" applyFill="1" applyAlignment="1">
      <alignment horizontal="right" vertical="center"/>
    </xf>
    <xf numFmtId="0" fontId="20" fillId="3" borderId="0" xfId="0" applyFont="1" applyFill="1" applyAlignment="1">
      <alignment vertical="center" wrapText="1" shrinkToFit="1"/>
    </xf>
    <xf numFmtId="0" fontId="0" fillId="0" borderId="0" xfId="0" applyAlignment="1">
      <alignment vertical="center" wrapText="1" shrinkToFit="1"/>
    </xf>
    <xf numFmtId="0" fontId="49" fillId="6" borderId="70" xfId="0" applyFont="1" applyFill="1" applyBorder="1"/>
    <xf numFmtId="0" fontId="48" fillId="6" borderId="0" xfId="0" applyFont="1" applyFill="1" applyAlignment="1">
      <alignment vertical="top" wrapText="1"/>
    </xf>
    <xf numFmtId="0" fontId="0" fillId="6" borderId="0" xfId="0" applyFill="1" applyAlignment="1">
      <alignment vertical="top" wrapText="1"/>
    </xf>
    <xf numFmtId="0" fontId="0" fillId="6" borderId="69" xfId="0" applyFill="1" applyBorder="1" applyAlignment="1">
      <alignment horizontal="center"/>
    </xf>
    <xf numFmtId="0" fontId="0" fillId="6" borderId="43" xfId="0" applyFill="1" applyBorder="1" applyAlignment="1">
      <alignment horizontal="center"/>
    </xf>
    <xf numFmtId="0" fontId="34" fillId="6" borderId="0" xfId="0" applyFont="1" applyFill="1" applyAlignment="1">
      <alignment horizontal="center" wrapText="1"/>
    </xf>
    <xf numFmtId="0" fontId="34" fillId="0" borderId="0" xfId="0" applyFont="1" applyAlignment="1">
      <alignment horizontal="center" wrapText="1"/>
    </xf>
    <xf numFmtId="0" fontId="11" fillId="6" borderId="59" xfId="0" applyFont="1" applyFill="1" applyBorder="1" applyAlignment="1">
      <alignment horizontal="left" vertical="center"/>
    </xf>
    <xf numFmtId="0" fontId="11" fillId="6" borderId="17" xfId="0" applyFont="1" applyFill="1" applyBorder="1" applyAlignment="1">
      <alignment horizontal="left" vertical="center"/>
    </xf>
    <xf numFmtId="0" fontId="13" fillId="3" borderId="40" xfId="0" applyFont="1" applyFill="1" applyBorder="1" applyAlignment="1">
      <alignment horizontal="left"/>
    </xf>
    <xf numFmtId="0" fontId="0" fillId="0" borderId="40" xfId="0" applyBorder="1" applyAlignment="1">
      <alignment horizontal="left"/>
    </xf>
    <xf numFmtId="0" fontId="0" fillId="6" borderId="35" xfId="0" applyFill="1" applyBorder="1"/>
    <xf numFmtId="0" fontId="0" fillId="6" borderId="42" xfId="0" applyFill="1" applyBorder="1"/>
    <xf numFmtId="0" fontId="0" fillId="6" borderId="74" xfId="0" applyFill="1" applyBorder="1"/>
    <xf numFmtId="3" fontId="0" fillId="7" borderId="57" xfId="0" applyNumberFormat="1" applyFill="1" applyBorder="1" applyAlignment="1">
      <alignment horizontal="center" vertical="center"/>
    </xf>
    <xf numFmtId="0" fontId="8" fillId="3" borderId="7" xfId="0" applyFont="1" applyFill="1" applyBorder="1"/>
    <xf numFmtId="0" fontId="13" fillId="3" borderId="59" xfId="0" applyFont="1" applyFill="1" applyBorder="1" applyAlignment="1">
      <alignment vertical="center" wrapText="1"/>
    </xf>
    <xf numFmtId="0" fontId="0" fillId="0" borderId="17" xfId="0" applyBorder="1" applyAlignment="1">
      <alignment vertical="center" wrapText="1"/>
    </xf>
    <xf numFmtId="0" fontId="13" fillId="3" borderId="17" xfId="0" applyFont="1" applyFill="1" applyBorder="1" applyAlignment="1">
      <alignment vertical="center" wrapText="1"/>
    </xf>
    <xf numFmtId="3" fontId="3" fillId="0" borderId="39" xfId="0" applyNumberFormat="1" applyFont="1" applyBorder="1" applyAlignment="1" applyProtection="1">
      <alignment horizontal="center" vertical="center"/>
      <protection locked="0"/>
    </xf>
    <xf numFmtId="3" fontId="3" fillId="0" borderId="20" xfId="0" applyNumberFormat="1" applyFont="1" applyBorder="1" applyAlignment="1" applyProtection="1">
      <alignment horizontal="center" vertical="center"/>
      <protection locked="0"/>
    </xf>
    <xf numFmtId="3" fontId="3" fillId="0" borderId="58" xfId="0" applyNumberFormat="1" applyFont="1" applyBorder="1" applyAlignment="1" applyProtection="1">
      <alignment horizontal="center" vertical="center"/>
      <protection locked="0"/>
    </xf>
    <xf numFmtId="3" fontId="3" fillId="0" borderId="18" xfId="0" applyNumberFormat="1" applyFont="1" applyBorder="1" applyAlignment="1" applyProtection="1">
      <alignment horizontal="center" vertical="center"/>
      <protection locked="0"/>
    </xf>
    <xf numFmtId="0" fontId="13" fillId="6" borderId="95" xfId="0" applyFont="1" applyFill="1" applyBorder="1" applyAlignment="1">
      <alignment horizontal="left" vertical="center" wrapText="1"/>
    </xf>
    <xf numFmtId="0" fontId="13" fillId="6" borderId="96"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20" fillId="3" borderId="0" xfId="0" applyFont="1" applyFill="1" applyAlignment="1">
      <alignment horizontal="left" vertical="center"/>
    </xf>
    <xf numFmtId="0" fontId="20" fillId="3" borderId="79" xfId="0" applyFont="1" applyFill="1" applyBorder="1" applyAlignment="1">
      <alignment horizontal="left" vertical="center"/>
    </xf>
    <xf numFmtId="0" fontId="0" fillId="0" borderId="35" xfId="0" applyBorder="1"/>
    <xf numFmtId="0" fontId="0" fillId="0" borderId="6" xfId="0" applyBorder="1" applyAlignment="1">
      <alignment vertical="center"/>
    </xf>
    <xf numFmtId="0" fontId="13" fillId="6" borderId="23" xfId="0" applyFont="1" applyFill="1" applyBorder="1" applyAlignment="1">
      <alignment horizontal="left" vertical="center" wrapText="1"/>
    </xf>
    <xf numFmtId="0" fontId="13" fillId="6" borderId="69" xfId="0" applyFont="1" applyFill="1" applyBorder="1" applyAlignment="1">
      <alignment horizontal="left" vertical="center" wrapText="1"/>
    </xf>
    <xf numFmtId="49" fontId="27" fillId="3" borderId="0" xfId="0" applyNumberFormat="1" applyFont="1" applyFill="1" applyAlignment="1">
      <alignment horizontal="center"/>
    </xf>
    <xf numFmtId="49" fontId="28" fillId="3" borderId="0" xfId="0" applyNumberFormat="1" applyFont="1" applyFill="1" applyAlignment="1">
      <alignment horizontal="center"/>
    </xf>
    <xf numFmtId="0" fontId="13" fillId="6" borderId="98" xfId="0" applyFont="1" applyFill="1" applyBorder="1" applyAlignment="1">
      <alignment horizontal="left" vertical="center" wrapText="1"/>
    </xf>
    <xf numFmtId="0" fontId="13" fillId="6" borderId="99" xfId="0" applyFont="1" applyFill="1" applyBorder="1" applyAlignment="1">
      <alignment horizontal="left" vertical="center" wrapText="1"/>
    </xf>
    <xf numFmtId="49" fontId="31" fillId="3" borderId="0" xfId="0" applyNumberFormat="1" applyFont="1" applyFill="1" applyAlignment="1">
      <alignment horizontal="left"/>
    </xf>
    <xf numFmtId="2" fontId="69" fillId="3" borderId="0" xfId="0" applyNumberFormat="1" applyFont="1" applyFill="1" applyAlignment="1">
      <alignment horizontal="center"/>
    </xf>
    <xf numFmtId="0" fontId="13" fillId="3" borderId="0" xfId="0" applyFont="1" applyFill="1" applyAlignment="1">
      <alignment horizontal="left" vertical="center" wrapText="1"/>
    </xf>
    <xf numFmtId="0" fontId="7" fillId="6" borderId="20" xfId="0" applyFont="1" applyFill="1" applyBorder="1" applyAlignment="1">
      <alignment horizontal="left" vertical="center" wrapText="1"/>
    </xf>
    <xf numFmtId="0" fontId="27" fillId="6" borderId="0" xfId="0" applyFont="1" applyFill="1" applyAlignment="1">
      <alignment vertical="center" wrapText="1" shrinkToFit="1"/>
    </xf>
    <xf numFmtId="0" fontId="0" fillId="20" borderId="35" xfId="0" applyFill="1" applyBorder="1"/>
    <xf numFmtId="0" fontId="0" fillId="20" borderId="42" xfId="0" applyFill="1" applyBorder="1"/>
    <xf numFmtId="0" fontId="0" fillId="20" borderId="74" xfId="0" applyFill="1" applyBorder="1"/>
    <xf numFmtId="0" fontId="0" fillId="6" borderId="34" xfId="0" applyFill="1" applyBorder="1" applyAlignment="1">
      <alignment vertical="center"/>
    </xf>
    <xf numFmtId="0" fontId="13" fillId="3" borderId="40" xfId="0" applyFont="1" applyFill="1" applyBorder="1" applyAlignment="1">
      <alignment horizontal="left" vertical="center" wrapText="1"/>
    </xf>
    <xf numFmtId="0" fontId="0" fillId="6" borderId="40" xfId="0" applyFill="1" applyBorder="1" applyAlignment="1">
      <alignment vertical="center"/>
    </xf>
    <xf numFmtId="0" fontId="13" fillId="6" borderId="133" xfId="0" applyFont="1" applyFill="1" applyBorder="1" applyAlignment="1">
      <alignment horizontal="left" vertical="center" wrapText="1"/>
    </xf>
    <xf numFmtId="0" fontId="13" fillId="6" borderId="134" xfId="0" applyFont="1" applyFill="1" applyBorder="1" applyAlignment="1">
      <alignment horizontal="left" vertical="center" wrapText="1"/>
    </xf>
    <xf numFmtId="0" fontId="13" fillId="3" borderId="70" xfId="10" applyFont="1" applyFill="1" applyBorder="1" applyAlignment="1">
      <alignment horizontal="center" vertical="center"/>
    </xf>
    <xf numFmtId="0" fontId="3" fillId="0" borderId="70" xfId="10" applyBorder="1"/>
    <xf numFmtId="2" fontId="36" fillId="3" borderId="0" xfId="10" applyNumberFormat="1" applyFont="1" applyFill="1" applyAlignment="1">
      <alignment horizontal="center"/>
    </xf>
    <xf numFmtId="49" fontId="27" fillId="3" borderId="0" xfId="10" applyNumberFormat="1" applyFont="1" applyFill="1" applyAlignment="1">
      <alignment horizontal="center"/>
    </xf>
    <xf numFmtId="49" fontId="28" fillId="3" borderId="0" xfId="10" applyNumberFormat="1" applyFont="1" applyFill="1" applyAlignment="1">
      <alignment horizontal="center"/>
    </xf>
    <xf numFmtId="0" fontId="13" fillId="6" borderId="95" xfId="10" applyFont="1" applyFill="1" applyBorder="1" applyAlignment="1">
      <alignment horizontal="left" vertical="center" wrapText="1"/>
    </xf>
    <xf numFmtId="0" fontId="13" fillId="6" borderId="96" xfId="10" applyFont="1" applyFill="1" applyBorder="1" applyAlignment="1">
      <alignment horizontal="left" vertical="center" wrapText="1"/>
    </xf>
    <xf numFmtId="0" fontId="8" fillId="6" borderId="95" xfId="0" applyFont="1" applyFill="1" applyBorder="1" applyAlignment="1">
      <alignment horizontal="left" vertical="center" wrapText="1"/>
    </xf>
    <xf numFmtId="0" fontId="20" fillId="3" borderId="79" xfId="10" applyFont="1" applyFill="1" applyBorder="1" applyAlignment="1">
      <alignment horizontal="left" vertical="center"/>
    </xf>
    <xf numFmtId="0" fontId="3" fillId="0" borderId="35" xfId="10" applyBorder="1"/>
    <xf numFmtId="0" fontId="3" fillId="0" borderId="42" xfId="10" applyBorder="1"/>
    <xf numFmtId="0" fontId="13" fillId="3" borderId="33" xfId="10" applyFont="1" applyFill="1" applyBorder="1" applyAlignment="1">
      <alignment horizontal="center" vertical="center"/>
    </xf>
    <xf numFmtId="0" fontId="3" fillId="0" borderId="6" xfId="10" applyBorder="1" applyAlignment="1">
      <alignment vertical="center"/>
    </xf>
    <xf numFmtId="0" fontId="50" fillId="3" borderId="0" xfId="10" applyFont="1" applyFill="1"/>
    <xf numFmtId="0" fontId="3" fillId="0" borderId="0" xfId="10"/>
    <xf numFmtId="0" fontId="8" fillId="3" borderId="0" xfId="10" applyFont="1" applyFill="1" applyAlignment="1">
      <alignment horizontal="right" vertical="center"/>
    </xf>
    <xf numFmtId="0" fontId="3" fillId="0" borderId="0" xfId="10" applyAlignment="1">
      <alignment horizontal="right" vertical="center"/>
    </xf>
    <xf numFmtId="0" fontId="3" fillId="0" borderId="0" xfId="10" applyAlignment="1">
      <alignment vertical="center"/>
    </xf>
    <xf numFmtId="0" fontId="8" fillId="3" borderId="0" xfId="0" applyFont="1" applyFill="1" applyAlignment="1">
      <alignment wrapText="1" shrinkToFit="1"/>
    </xf>
    <xf numFmtId="0" fontId="3" fillId="0" borderId="0" xfId="0" applyFont="1" applyAlignment="1">
      <alignment vertical="center" wrapText="1"/>
    </xf>
    <xf numFmtId="0" fontId="23" fillId="3" borderId="0" xfId="0" applyFont="1" applyFill="1" applyAlignment="1">
      <alignment horizontal="center" vertical="center" wrapText="1"/>
    </xf>
    <xf numFmtId="0" fontId="4" fillId="6" borderId="0" xfId="0" applyFont="1" applyFill="1" applyAlignment="1">
      <alignment horizontal="center" vertical="center"/>
    </xf>
    <xf numFmtId="0" fontId="14" fillId="3" borderId="70" xfId="0" applyFont="1" applyFill="1" applyBorder="1" applyAlignment="1">
      <alignment horizontal="left" vertical="center" wrapText="1"/>
    </xf>
    <xf numFmtId="0" fontId="75" fillId="6" borderId="70" xfId="0" applyFont="1" applyFill="1" applyBorder="1" applyAlignment="1">
      <alignment horizontal="left" vertical="center"/>
    </xf>
    <xf numFmtId="0" fontId="13" fillId="3" borderId="0" xfId="0" applyFont="1" applyFill="1" applyAlignment="1">
      <alignment horizontal="center" vertical="center"/>
    </xf>
    <xf numFmtId="0" fontId="8" fillId="6" borderId="20" xfId="0" applyFont="1" applyFill="1" applyBorder="1" applyAlignment="1">
      <alignment horizontal="left" vertical="center" wrapText="1"/>
    </xf>
    <xf numFmtId="0" fontId="8" fillId="6" borderId="58" xfId="0" applyFont="1" applyFill="1" applyBorder="1" applyAlignment="1">
      <alignment horizontal="left" vertical="center" wrapText="1"/>
    </xf>
    <xf numFmtId="0" fontId="25" fillId="3" borderId="79" xfId="0" applyFont="1" applyFill="1" applyBorder="1"/>
    <xf numFmtId="0" fontId="0" fillId="0" borderId="71" xfId="0" applyBorder="1"/>
    <xf numFmtId="0" fontId="13" fillId="3" borderId="33" xfId="0" applyFont="1" applyFill="1" applyBorder="1" applyAlignment="1">
      <alignment horizontal="center"/>
    </xf>
    <xf numFmtId="0" fontId="0" fillId="0" borderId="6" xfId="0" applyBorder="1" applyAlignment="1">
      <alignment horizontal="center"/>
    </xf>
    <xf numFmtId="0" fontId="22" fillId="3" borderId="0" xfId="0" applyFont="1" applyFill="1" applyAlignment="1">
      <alignment horizontal="center" vertical="center" wrapText="1"/>
    </xf>
    <xf numFmtId="0" fontId="74" fillId="0" borderId="0" xfId="0" applyFont="1" applyAlignment="1">
      <alignment horizontal="center" vertical="center" wrapText="1"/>
    </xf>
    <xf numFmtId="0" fontId="81" fillId="6" borderId="0" xfId="0" applyFont="1" applyFill="1" applyAlignment="1">
      <alignment horizontal="center" vertical="center" wrapText="1" shrinkToFit="1"/>
    </xf>
    <xf numFmtId="0" fontId="82" fillId="0" borderId="0" xfId="0" applyFont="1" applyAlignment="1">
      <alignment horizontal="center" vertical="center" wrapText="1" shrinkToFit="1"/>
    </xf>
    <xf numFmtId="0" fontId="37" fillId="3" borderId="0" xfId="0" applyFont="1" applyFill="1" applyAlignment="1">
      <alignment horizontal="center" vertical="center"/>
    </xf>
    <xf numFmtId="0" fontId="82" fillId="0" borderId="0" xfId="0" applyFont="1" applyAlignment="1">
      <alignment horizontal="center" vertical="center"/>
    </xf>
    <xf numFmtId="0" fontId="37" fillId="3" borderId="0" xfId="0" applyFont="1" applyFill="1" applyAlignment="1">
      <alignment horizontal="center" vertical="center" wrapText="1"/>
    </xf>
    <xf numFmtId="0" fontId="82" fillId="6" borderId="0" xfId="0" applyFont="1" applyFill="1" applyAlignment="1">
      <alignment horizontal="center" vertical="center"/>
    </xf>
    <xf numFmtId="0" fontId="31" fillId="7" borderId="0" xfId="0" applyFont="1" applyFill="1" applyAlignment="1">
      <alignment horizontal="left"/>
    </xf>
    <xf numFmtId="49" fontId="16" fillId="7" borderId="0" xfId="0" applyNumberFormat="1" applyFont="1" applyFill="1" applyAlignment="1">
      <alignment horizontal="center"/>
    </xf>
    <xf numFmtId="0" fontId="69" fillId="7" borderId="0" xfId="0" applyFont="1" applyFill="1" applyAlignment="1">
      <alignment horizontal="center"/>
    </xf>
    <xf numFmtId="0" fontId="68" fillId="0" borderId="0" xfId="0" applyFont="1"/>
    <xf numFmtId="0" fontId="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2"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vertical="center"/>
    </xf>
    <xf numFmtId="0" fontId="71" fillId="7" borderId="0" xfId="0" applyFont="1" applyFill="1" applyAlignment="1">
      <alignment horizontal="center"/>
    </xf>
    <xf numFmtId="0" fontId="72" fillId="7" borderId="0" xfId="0" applyFont="1" applyFill="1"/>
    <xf numFmtId="0" fontId="72" fillId="7" borderId="32" xfId="0" applyFont="1" applyFill="1" applyBorder="1"/>
    <xf numFmtId="0" fontId="11" fillId="7" borderId="0" xfId="0" applyFont="1" applyFill="1" applyAlignment="1">
      <alignment vertical="top"/>
    </xf>
    <xf numFmtId="0" fontId="5" fillId="2" borderId="3" xfId="0" applyFont="1" applyFill="1" applyBorder="1" applyAlignment="1">
      <alignment horizontal="left" vertical="center"/>
    </xf>
    <xf numFmtId="0" fontId="0" fillId="7" borderId="3" xfId="0" applyFill="1" applyBorder="1" applyAlignment="1">
      <alignment horizontal="left" vertical="center"/>
    </xf>
    <xf numFmtId="0" fontId="8" fillId="2"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72" fillId="7" borderId="0" xfId="0" applyFont="1" applyFill="1" applyAlignment="1">
      <alignment horizontal="center"/>
    </xf>
    <xf numFmtId="0" fontId="73" fillId="7" borderId="0" xfId="0" applyFont="1" applyFill="1" applyAlignment="1">
      <alignment horizontal="center"/>
    </xf>
    <xf numFmtId="0" fontId="8" fillId="2" borderId="10" xfId="0" applyFont="1" applyFill="1" applyBorder="1" applyAlignment="1">
      <alignment horizontal="center" vertical="center" textRotation="90"/>
    </xf>
    <xf numFmtId="0" fontId="0" fillId="7" borderId="26" xfId="0" applyFill="1" applyBorder="1" applyAlignment="1">
      <alignment horizontal="center" vertical="center"/>
    </xf>
    <xf numFmtId="0" fontId="0" fillId="7" borderId="69" xfId="0" applyFill="1" applyBorder="1"/>
    <xf numFmtId="0" fontId="0" fillId="7" borderId="37" xfId="0" applyFill="1" applyBorder="1"/>
    <xf numFmtId="0" fontId="71" fillId="7" borderId="0" xfId="0" applyFont="1" applyFill="1" applyAlignment="1">
      <alignment horizontal="center" vertical="center"/>
    </xf>
    <xf numFmtId="0" fontId="68" fillId="7" borderId="0" xfId="0" applyFont="1" applyFill="1"/>
    <xf numFmtId="0" fontId="31" fillId="7" borderId="0" xfId="0" applyFont="1" applyFill="1"/>
    <xf numFmtId="0" fontId="73" fillId="7" borderId="0" xfId="0" applyFont="1" applyFill="1" applyAlignment="1">
      <alignment horizontal="right" vertical="center"/>
    </xf>
    <xf numFmtId="0" fontId="73" fillId="7" borderId="37" xfId="0" applyFont="1" applyFill="1" applyBorder="1" applyAlignment="1">
      <alignment horizontal="right" vertical="center"/>
    </xf>
    <xf numFmtId="0" fontId="0" fillId="7" borderId="70" xfId="0" applyFill="1" applyBorder="1"/>
    <xf numFmtId="0" fontId="58" fillId="7" borderId="0" xfId="0" applyFont="1" applyFill="1" applyAlignment="1">
      <alignment vertical="center"/>
    </xf>
    <xf numFmtId="0" fontId="58" fillId="7" borderId="0" xfId="0" applyFont="1" applyFill="1" applyAlignment="1">
      <alignment vertical="center" wrapText="1"/>
    </xf>
    <xf numFmtId="0" fontId="6" fillId="3" borderId="70" xfId="10" applyFont="1" applyFill="1" applyBorder="1" applyAlignment="1">
      <alignment horizontal="center"/>
    </xf>
    <xf numFmtId="0" fontId="3" fillId="0" borderId="70" xfId="10" applyBorder="1" applyAlignment="1">
      <alignment horizontal="center"/>
    </xf>
    <xf numFmtId="0" fontId="20" fillId="3" borderId="0" xfId="10" applyFont="1" applyFill="1" applyAlignment="1">
      <alignment horizontal="center"/>
    </xf>
    <xf numFmtId="0" fontId="5" fillId="2" borderId="128" xfId="10" applyFont="1" applyFill="1" applyBorder="1" applyAlignment="1" applyProtection="1">
      <alignment vertical="center"/>
      <protection locked="0"/>
    </xf>
    <xf numFmtId="0" fontId="3" fillId="0" borderId="128" xfId="10" applyBorder="1" applyAlignment="1" applyProtection="1">
      <alignment vertical="center"/>
      <protection locked="0"/>
    </xf>
    <xf numFmtId="49" fontId="5" fillId="2" borderId="128" xfId="10" applyNumberFormat="1" applyFont="1" applyFill="1" applyBorder="1" applyAlignment="1" applyProtection="1">
      <alignment horizontal="center" vertical="center"/>
      <protection locked="0"/>
    </xf>
    <xf numFmtId="0" fontId="5" fillId="3" borderId="3" xfId="10" applyFont="1" applyFill="1" applyBorder="1" applyAlignment="1">
      <alignment vertical="center"/>
    </xf>
    <xf numFmtId="0" fontId="3" fillId="6" borderId="3" xfId="10" applyFill="1" applyBorder="1" applyAlignment="1">
      <alignment vertical="center"/>
    </xf>
    <xf numFmtId="49" fontId="5" fillId="3" borderId="3" xfId="10" applyNumberFormat="1" applyFont="1" applyFill="1" applyBorder="1" applyAlignment="1">
      <alignment horizontal="center" vertical="center"/>
    </xf>
    <xf numFmtId="0" fontId="3" fillId="0" borderId="128" xfId="10" applyBorder="1" applyAlignment="1" applyProtection="1">
      <alignment horizontal="center" vertical="center"/>
      <protection locked="0"/>
    </xf>
    <xf numFmtId="0" fontId="6" fillId="3" borderId="0" xfId="10" applyFont="1" applyFill="1" applyAlignment="1">
      <alignment horizontal="center" vertical="center"/>
    </xf>
    <xf numFmtId="0" fontId="3" fillId="0" borderId="0" xfId="10" applyAlignment="1">
      <alignment horizontal="center" vertical="center"/>
    </xf>
    <xf numFmtId="0" fontId="8" fillId="3" borderId="62" xfId="10" applyFont="1" applyFill="1" applyBorder="1" applyAlignment="1">
      <alignment horizontal="center" vertical="center"/>
    </xf>
    <xf numFmtId="0" fontId="8" fillId="3" borderId="88" xfId="10" applyFont="1" applyFill="1" applyBorder="1" applyAlignment="1">
      <alignment horizontal="center" vertical="center"/>
    </xf>
    <xf numFmtId="0" fontId="3" fillId="0" borderId="30" xfId="10" applyBorder="1" applyAlignment="1">
      <alignment horizontal="center" vertical="center"/>
    </xf>
    <xf numFmtId="0" fontId="8" fillId="3" borderId="64" xfId="10" applyFont="1" applyFill="1" applyBorder="1" applyAlignment="1">
      <alignment horizontal="center" vertical="center"/>
    </xf>
    <xf numFmtId="0" fontId="3" fillId="0" borderId="71" xfId="10" applyBorder="1" applyAlignment="1">
      <alignment horizontal="center" vertical="center"/>
    </xf>
    <xf numFmtId="0" fontId="3" fillId="0" borderId="111" xfId="10" applyBorder="1" applyAlignment="1">
      <alignment horizontal="center" vertical="center"/>
    </xf>
    <xf numFmtId="0" fontId="3" fillId="0" borderId="113" xfId="10" applyBorder="1" applyAlignment="1">
      <alignment horizontal="center" vertical="center"/>
    </xf>
    <xf numFmtId="0" fontId="8" fillId="3" borderId="71" xfId="10" applyFont="1" applyFill="1" applyBorder="1" applyAlignment="1">
      <alignment horizontal="center" vertical="center"/>
    </xf>
    <xf numFmtId="0" fontId="11" fillId="6" borderId="33" xfId="10" applyFont="1" applyFill="1" applyBorder="1" applyAlignment="1">
      <alignment horizontal="center" vertical="center" wrapText="1"/>
    </xf>
    <xf numFmtId="0" fontId="3" fillId="0" borderId="68" xfId="10" applyBorder="1" applyAlignment="1">
      <alignment horizontal="center" vertical="center" wrapText="1"/>
    </xf>
    <xf numFmtId="0" fontId="3" fillId="0" borderId="6" xfId="10" applyBorder="1" applyAlignment="1">
      <alignment horizontal="center" vertical="center" wrapText="1"/>
    </xf>
    <xf numFmtId="0" fontId="8" fillId="3" borderId="128" xfId="10" applyFont="1" applyFill="1" applyBorder="1" applyAlignment="1">
      <alignment horizontal="center" vertical="center"/>
    </xf>
    <xf numFmtId="0" fontId="3" fillId="0" borderId="128" xfId="10" applyBorder="1" applyAlignment="1">
      <alignment horizontal="center" vertical="center"/>
    </xf>
    <xf numFmtId="0" fontId="24" fillId="6" borderId="123" xfId="10" applyFont="1" applyFill="1" applyBorder="1" applyAlignment="1">
      <alignment horizontal="center" vertical="center"/>
    </xf>
    <xf numFmtId="0" fontId="3" fillId="0" borderId="127" xfId="10" applyBorder="1" applyAlignment="1">
      <alignment horizontal="center" vertical="center"/>
    </xf>
    <xf numFmtId="0" fontId="3" fillId="0" borderId="129" xfId="10" applyBorder="1" applyAlignment="1">
      <alignment horizontal="center" vertical="center"/>
    </xf>
    <xf numFmtId="0" fontId="105" fillId="16" borderId="0" xfId="11" applyFont="1" applyFill="1" applyAlignment="1">
      <alignment wrapText="1"/>
    </xf>
    <xf numFmtId="0" fontId="11" fillId="0" borderId="0" xfId="0" applyFont="1" applyAlignment="1">
      <alignment wrapText="1"/>
    </xf>
    <xf numFmtId="0" fontId="104" fillId="16" borderId="0" xfId="11" applyFont="1" applyFill="1" applyAlignment="1">
      <alignment vertical="center"/>
    </xf>
    <xf numFmtId="0" fontId="91" fillId="16" borderId="0" xfId="11" applyFont="1" applyFill="1" applyAlignment="1">
      <alignment horizontal="left" vertical="center"/>
    </xf>
    <xf numFmtId="0" fontId="105" fillId="16" borderId="138" xfId="11" applyFont="1" applyFill="1" applyBorder="1" applyAlignment="1" applyProtection="1">
      <alignment horizontal="center"/>
      <protection locked="0"/>
    </xf>
    <xf numFmtId="0" fontId="105" fillId="16" borderId="139" xfId="11" applyFont="1" applyFill="1" applyBorder="1" applyAlignment="1" applyProtection="1">
      <alignment horizontal="center"/>
      <protection locked="0"/>
    </xf>
    <xf numFmtId="0" fontId="105" fillId="16" borderId="140" xfId="11" applyFont="1" applyFill="1" applyBorder="1" applyAlignment="1" applyProtection="1">
      <alignment horizontal="center"/>
      <protection locked="0"/>
    </xf>
    <xf numFmtId="0" fontId="105" fillId="16" borderId="135" xfId="11" applyFont="1" applyFill="1" applyBorder="1" applyAlignment="1" applyProtection="1">
      <alignment horizontal="center"/>
      <protection locked="0"/>
    </xf>
    <xf numFmtId="0" fontId="105" fillId="16" borderId="0" xfId="11" applyFont="1" applyFill="1" applyAlignment="1" applyProtection="1">
      <alignment horizontal="center"/>
      <protection locked="0"/>
    </xf>
    <xf numFmtId="0" fontId="105" fillId="16" borderId="110" xfId="11" applyFont="1" applyFill="1" applyBorder="1" applyAlignment="1" applyProtection="1">
      <alignment horizontal="center"/>
      <protection locked="0"/>
    </xf>
    <xf numFmtId="0" fontId="105" fillId="16" borderId="111" xfId="11" applyFont="1" applyFill="1" applyBorder="1" applyAlignment="1" applyProtection="1">
      <alignment horizontal="center"/>
      <protection locked="0"/>
    </xf>
    <xf numFmtId="0" fontId="105" fillId="16" borderId="112" xfId="11" applyFont="1" applyFill="1" applyBorder="1" applyAlignment="1" applyProtection="1">
      <alignment horizontal="center"/>
      <protection locked="0"/>
    </xf>
    <xf numFmtId="0" fontId="105" fillId="16" borderId="141" xfId="11" applyFont="1" applyFill="1" applyBorder="1" applyAlignment="1" applyProtection="1">
      <alignment horizontal="center"/>
      <protection locked="0"/>
    </xf>
    <xf numFmtId="0" fontId="91" fillId="16" borderId="139" xfId="11" applyFont="1" applyFill="1" applyBorder="1" applyAlignment="1">
      <alignment horizontal="center"/>
    </xf>
    <xf numFmtId="0" fontId="91" fillId="16" borderId="0" xfId="11" applyFont="1" applyFill="1" applyAlignment="1">
      <alignment horizontal="center"/>
    </xf>
    <xf numFmtId="0" fontId="91" fillId="16" borderId="112" xfId="11" applyFont="1" applyFill="1" applyBorder="1" applyAlignment="1">
      <alignment horizontal="center" vertical="center"/>
    </xf>
    <xf numFmtId="0" fontId="0" fillId="0" borderId="112" xfId="0" applyBorder="1" applyAlignment="1">
      <alignment horizontal="center" vertical="center"/>
    </xf>
    <xf numFmtId="0" fontId="4" fillId="21" borderId="0" xfId="11" applyFont="1" applyFill="1" applyAlignment="1">
      <alignment horizontal="center" vertical="center"/>
    </xf>
    <xf numFmtId="0" fontId="105" fillId="21" borderId="0" xfId="11" applyFont="1" applyFill="1" applyAlignment="1">
      <alignment horizontal="justify" vertical="center" wrapText="1"/>
    </xf>
    <xf numFmtId="0" fontId="105" fillId="16" borderId="0" xfId="11" applyFont="1" applyFill="1" applyAlignment="1">
      <alignment horizontal="left"/>
    </xf>
    <xf numFmtId="0" fontId="91" fillId="16" borderId="49" xfId="11" applyFont="1" applyFill="1" applyBorder="1" applyAlignment="1">
      <alignment horizontal="center"/>
    </xf>
    <xf numFmtId="0" fontId="91" fillId="16" borderId="0" xfId="11" applyFont="1" applyFill="1" applyAlignment="1">
      <alignment horizontal="center" vertical="center"/>
    </xf>
    <xf numFmtId="0" fontId="103" fillId="16" borderId="19" xfId="11" applyFont="1" applyFill="1" applyBorder="1" applyAlignment="1">
      <alignment horizontal="center" vertical="center"/>
    </xf>
    <xf numFmtId="0" fontId="103" fillId="16" borderId="0" xfId="11" applyFont="1" applyFill="1" applyAlignment="1">
      <alignment horizontal="center" vertical="center"/>
    </xf>
    <xf numFmtId="0" fontId="0" fillId="0" borderId="32" xfId="0" applyBorder="1" applyAlignment="1">
      <alignment vertical="center"/>
    </xf>
    <xf numFmtId="0" fontId="103" fillId="16" borderId="8" xfId="11" applyFont="1" applyFill="1" applyBorder="1" applyAlignment="1" applyProtection="1">
      <alignment horizontal="left" vertical="center"/>
      <protection locked="0"/>
    </xf>
    <xf numFmtId="0" fontId="103" fillId="16" borderId="95" xfId="11" applyFont="1" applyFill="1" applyBorder="1" applyAlignment="1" applyProtection="1">
      <alignment horizontal="left" vertical="center"/>
      <protection locked="0"/>
    </xf>
    <xf numFmtId="0" fontId="67" fillId="0" borderId="95" xfId="0" applyFont="1" applyBorder="1" applyAlignment="1" applyProtection="1">
      <alignment vertical="center"/>
      <protection locked="0"/>
    </xf>
    <xf numFmtId="0" fontId="67" fillId="0" borderId="43" xfId="0" applyFont="1" applyBorder="1" applyAlignment="1" applyProtection="1">
      <alignment vertical="center"/>
      <protection locked="0"/>
    </xf>
    <xf numFmtId="0" fontId="91" fillId="16" borderId="40" xfId="11" applyFont="1" applyFill="1" applyBorder="1" applyAlignment="1">
      <alignment horizontal="left" vertical="center" wrapText="1"/>
    </xf>
    <xf numFmtId="0" fontId="0" fillId="0" borderId="40" xfId="0" applyBorder="1" applyAlignment="1">
      <alignment horizontal="left" vertical="center" wrapText="1"/>
    </xf>
    <xf numFmtId="14" fontId="103" fillId="16" borderId="94" xfId="11" applyNumberFormat="1" applyFont="1" applyFill="1" applyBorder="1" applyAlignment="1" applyProtection="1">
      <alignment horizontal="center" vertical="center"/>
      <protection locked="0"/>
    </xf>
    <xf numFmtId="14" fontId="103" fillId="16" borderId="96" xfId="11" applyNumberFormat="1" applyFont="1" applyFill="1" applyBorder="1" applyAlignment="1" applyProtection="1">
      <alignment horizontal="center" vertical="center"/>
      <protection locked="0"/>
    </xf>
    <xf numFmtId="0" fontId="104" fillId="16" borderId="0" xfId="11" applyFont="1" applyFill="1" applyAlignment="1">
      <alignment horizontal="left" vertical="center"/>
    </xf>
    <xf numFmtId="49" fontId="103" fillId="16" borderId="94" xfId="11" applyNumberFormat="1" applyFont="1" applyFill="1" applyBorder="1" applyAlignment="1" applyProtection="1">
      <alignment horizontal="center" vertical="center"/>
      <protection locked="0"/>
    </xf>
    <xf numFmtId="49" fontId="103" fillId="16" borderId="96" xfId="11" applyNumberFormat="1" applyFont="1" applyFill="1" applyBorder="1" applyAlignment="1" applyProtection="1">
      <alignment horizontal="center" vertical="center"/>
      <protection locked="0"/>
    </xf>
    <xf numFmtId="167" fontId="103" fillId="16" borderId="94" xfId="11" applyNumberFormat="1" applyFont="1" applyFill="1" applyBorder="1" applyAlignment="1" applyProtection="1">
      <alignment horizontal="center" vertical="center"/>
      <protection locked="0"/>
    </xf>
    <xf numFmtId="167" fontId="103" fillId="16" borderId="96" xfId="11" applyNumberFormat="1" applyFont="1" applyFill="1" applyBorder="1" applyAlignment="1" applyProtection="1">
      <alignment horizontal="center" vertical="center"/>
      <protection locked="0"/>
    </xf>
    <xf numFmtId="0" fontId="91" fillId="16" borderId="0" xfId="11" applyFont="1" applyFill="1" applyAlignment="1">
      <alignment horizontal="left" vertical="center" wrapText="1"/>
    </xf>
    <xf numFmtId="0" fontId="91" fillId="16" borderId="114" xfId="11" applyFont="1" applyFill="1" applyBorder="1" applyAlignment="1">
      <alignment horizontal="left" vertical="center"/>
    </xf>
    <xf numFmtId="0" fontId="0" fillId="0" borderId="98" xfId="0" applyBorder="1" applyAlignment="1">
      <alignment vertical="center"/>
    </xf>
    <xf numFmtId="0" fontId="67" fillId="0" borderId="95" xfId="0" applyFont="1" applyBorder="1" applyAlignment="1">
      <alignment vertical="center"/>
    </xf>
    <xf numFmtId="0" fontId="67" fillId="0" borderId="69" xfId="0" applyFont="1" applyBorder="1" applyAlignment="1">
      <alignment vertical="center"/>
    </xf>
    <xf numFmtId="49" fontId="103" fillId="16" borderId="77" xfId="11" applyNumberFormat="1" applyFont="1" applyFill="1" applyBorder="1" applyAlignment="1">
      <alignment horizontal="left" vertical="center"/>
    </xf>
    <xf numFmtId="49" fontId="103" fillId="16" borderId="40" xfId="11" applyNumberFormat="1" applyFont="1" applyFill="1" applyBorder="1" applyAlignment="1">
      <alignment horizontal="left" vertical="center"/>
    </xf>
    <xf numFmtId="0" fontId="0" fillId="0" borderId="78" xfId="0" applyBorder="1" applyAlignment="1">
      <alignment vertical="center"/>
    </xf>
    <xf numFmtId="0" fontId="101" fillId="16" borderId="0" xfId="11" applyFont="1" applyFill="1" applyAlignment="1">
      <alignment horizontal="center" vertical="center"/>
    </xf>
    <xf numFmtId="0" fontId="102" fillId="16" borderId="0" xfId="11" applyFont="1" applyFill="1" applyAlignment="1">
      <alignment horizontal="center" vertical="center"/>
    </xf>
    <xf numFmtId="0" fontId="91" fillId="16" borderId="0" xfId="11" applyFont="1" applyFill="1" applyAlignment="1">
      <alignment horizontal="left"/>
    </xf>
    <xf numFmtId="0" fontId="91" fillId="16" borderId="19" xfId="11" applyFont="1" applyFill="1" applyBorder="1" applyAlignment="1">
      <alignment horizontal="left" vertical="center"/>
    </xf>
    <xf numFmtId="0" fontId="91" fillId="16" borderId="32" xfId="11" applyFont="1" applyFill="1" applyBorder="1" applyAlignment="1">
      <alignment horizontal="left" vertical="center"/>
    </xf>
    <xf numFmtId="49" fontId="104" fillId="16" borderId="8" xfId="11" applyNumberFormat="1" applyFont="1" applyFill="1" applyBorder="1" applyAlignment="1" applyProtection="1">
      <alignment horizontal="left" vertical="center"/>
      <protection locked="0"/>
    </xf>
    <xf numFmtId="49" fontId="104" fillId="16" borderId="95" xfId="11" applyNumberFormat="1" applyFont="1" applyFill="1" applyBorder="1" applyAlignment="1" applyProtection="1">
      <alignment horizontal="left" vertical="center"/>
      <protection locked="0"/>
    </xf>
    <xf numFmtId="49" fontId="104" fillId="16" borderId="43" xfId="11" applyNumberFormat="1" applyFont="1" applyFill="1" applyBorder="1" applyAlignment="1" applyProtection="1">
      <alignment horizontal="left" vertical="center"/>
      <protection locked="0"/>
    </xf>
    <xf numFmtId="0" fontId="91" fillId="16" borderId="79" xfId="11" applyFont="1" applyFill="1" applyBorder="1" applyAlignment="1">
      <alignment horizontal="left" vertical="center"/>
    </xf>
    <xf numFmtId="0" fontId="91" fillId="16" borderId="70" xfId="11" applyFont="1" applyFill="1" applyBorder="1" applyAlignment="1">
      <alignment horizontal="left" vertical="center"/>
    </xf>
    <xf numFmtId="0" fontId="0" fillId="0" borderId="76" xfId="0" applyBorder="1" applyAlignment="1">
      <alignment vertical="center"/>
    </xf>
    <xf numFmtId="0" fontId="103" fillId="16" borderId="8" xfId="11" applyFont="1" applyFill="1" applyBorder="1" applyAlignment="1">
      <alignment horizontal="left" vertical="center"/>
    </xf>
    <xf numFmtId="0" fontId="103" fillId="16" borderId="95" xfId="11" applyFont="1" applyFill="1" applyBorder="1" applyAlignment="1">
      <alignment horizontal="left" vertical="center"/>
    </xf>
    <xf numFmtId="2" fontId="103" fillId="16" borderId="26" xfId="11" applyNumberFormat="1" applyFont="1" applyFill="1" applyBorder="1" applyAlignment="1">
      <alignment horizontal="left" vertical="center"/>
    </xf>
    <xf numFmtId="0" fontId="0" fillId="0" borderId="43" xfId="0" applyBorder="1" applyAlignment="1">
      <alignment horizontal="left" vertical="center"/>
    </xf>
    <xf numFmtId="2" fontId="91" fillId="16" borderId="22" xfId="11" applyNumberFormat="1" applyFont="1" applyFill="1" applyBorder="1" applyAlignment="1">
      <alignment horizontal="left" vertical="center"/>
    </xf>
    <xf numFmtId="2" fontId="91" fillId="16" borderId="6" xfId="11" applyNumberFormat="1" applyFont="1" applyFill="1" applyBorder="1" applyAlignment="1">
      <alignment horizontal="left" vertical="center"/>
    </xf>
    <xf numFmtId="0" fontId="103" fillId="16" borderId="69" xfId="11" applyFont="1" applyFill="1" applyBorder="1" applyAlignment="1" applyProtection="1">
      <alignment horizontal="left" vertical="center"/>
      <protection locked="0"/>
    </xf>
    <xf numFmtId="0" fontId="91" fillId="16" borderId="98" xfId="11" applyFont="1" applyFill="1" applyBorder="1" applyAlignment="1">
      <alignment horizontal="left" vertical="center"/>
    </xf>
    <xf numFmtId="0" fontId="103" fillId="16" borderId="26" xfId="11" applyFont="1" applyFill="1" applyBorder="1" applyAlignment="1" applyProtection="1">
      <alignment horizontal="left" vertical="center"/>
      <protection locked="0"/>
    </xf>
    <xf numFmtId="49" fontId="103" fillId="16" borderId="8" xfId="11" applyNumberFormat="1" applyFont="1" applyFill="1" applyBorder="1" applyAlignment="1" applyProtection="1">
      <alignment horizontal="left" vertical="center"/>
      <protection locked="0"/>
    </xf>
    <xf numFmtId="49" fontId="103" fillId="16" borderId="95" xfId="11" applyNumberFormat="1" applyFont="1" applyFill="1" applyBorder="1" applyAlignment="1" applyProtection="1">
      <alignment horizontal="left" vertical="center"/>
      <protection locked="0"/>
    </xf>
    <xf numFmtId="49" fontId="103" fillId="16" borderId="43" xfId="11" applyNumberFormat="1" applyFont="1" applyFill="1" applyBorder="1" applyAlignment="1" applyProtection="1">
      <alignment horizontal="left" vertical="center"/>
      <protection locked="0"/>
    </xf>
    <xf numFmtId="0" fontId="91" fillId="16" borderId="5" xfId="11" applyFont="1" applyFill="1" applyBorder="1" applyAlignment="1">
      <alignment horizontal="left" vertical="center"/>
    </xf>
    <xf numFmtId="0" fontId="91" fillId="16" borderId="24" xfId="11" applyFont="1" applyFill="1" applyBorder="1" applyAlignment="1">
      <alignment horizontal="left" vertical="center"/>
    </xf>
    <xf numFmtId="0" fontId="0" fillId="0" borderId="44" xfId="0" applyBorder="1" applyAlignment="1">
      <alignment vertical="center"/>
    </xf>
    <xf numFmtId="0" fontId="103" fillId="16" borderId="81" xfId="11" applyFont="1" applyFill="1" applyBorder="1" applyAlignment="1" applyProtection="1">
      <alignment horizontal="center" vertical="center"/>
      <protection locked="0"/>
    </xf>
    <xf numFmtId="0" fontId="1" fillId="16" borderId="0" xfId="11" applyFill="1" applyAlignment="1">
      <alignment horizontal="center"/>
    </xf>
    <xf numFmtId="0" fontId="104" fillId="16" borderId="0" xfId="11" applyFont="1" applyFill="1" applyAlignment="1">
      <alignment horizontal="center" vertical="center"/>
    </xf>
    <xf numFmtId="0" fontId="103" fillId="16" borderId="0" xfId="11" applyFont="1" applyFill="1" applyAlignment="1" applyProtection="1">
      <alignment horizontal="center" vertical="center"/>
      <protection locked="0"/>
    </xf>
    <xf numFmtId="0" fontId="1" fillId="16" borderId="0" xfId="11" applyFill="1" applyAlignment="1">
      <alignment horizontal="center" vertical="center"/>
    </xf>
    <xf numFmtId="0" fontId="36" fillId="7" borderId="111" xfId="0" applyFont="1" applyFill="1" applyBorder="1" applyAlignment="1">
      <alignment horizontal="center" vertical="center"/>
    </xf>
    <xf numFmtId="0" fontId="84" fillId="7" borderId="112" xfId="0" applyFont="1" applyFill="1" applyBorder="1" applyAlignment="1">
      <alignment horizontal="right" vertical="center"/>
    </xf>
    <xf numFmtId="0" fontId="3" fillId="2" borderId="112" xfId="0" applyFont="1" applyFill="1" applyBorder="1" applyAlignment="1">
      <alignment horizontal="right" vertical="center"/>
    </xf>
    <xf numFmtId="0" fontId="3" fillId="2" borderId="113" xfId="0" applyFont="1" applyFill="1" applyBorder="1" applyAlignment="1">
      <alignment horizontal="right" vertical="center"/>
    </xf>
    <xf numFmtId="0" fontId="11" fillId="7" borderId="34" xfId="0" applyFont="1" applyFill="1" applyBorder="1" applyAlignment="1">
      <alignment vertical="top" wrapText="1"/>
    </xf>
    <xf numFmtId="0" fontId="0" fillId="0" borderId="0" xfId="0" applyAlignment="1">
      <alignment vertical="top" wrapText="1"/>
    </xf>
    <xf numFmtId="0" fontId="0" fillId="0" borderId="34" xfId="0" applyBorder="1" applyAlignment="1">
      <alignment vertical="top" wrapText="1"/>
    </xf>
    <xf numFmtId="4" fontId="3" fillId="7" borderId="143" xfId="0" applyNumberFormat="1" applyFont="1" applyFill="1" applyBorder="1" applyAlignment="1">
      <alignment vertical="center"/>
    </xf>
    <xf numFmtId="0" fontId="0" fillId="0" borderId="144" xfId="0" applyBorder="1" applyAlignment="1">
      <alignment vertical="center"/>
    </xf>
    <xf numFmtId="0" fontId="0" fillId="0" borderId="145" xfId="0" applyBorder="1" applyAlignment="1">
      <alignment vertical="center"/>
    </xf>
    <xf numFmtId="3" fontId="2" fillId="7" borderId="34" xfId="0" applyNumberFormat="1" applyFont="1" applyFill="1" applyBorder="1" applyAlignment="1">
      <alignment vertical="center"/>
    </xf>
    <xf numFmtId="4" fontId="3" fillId="2" borderId="137" xfId="0" applyNumberFormat="1" applyFont="1" applyFill="1" applyBorder="1" applyAlignment="1">
      <alignment vertical="center"/>
    </xf>
    <xf numFmtId="0" fontId="0" fillId="0" borderId="133" xfId="0" applyBorder="1" applyAlignment="1">
      <alignment vertical="center"/>
    </xf>
    <xf numFmtId="0" fontId="0" fillId="0" borderId="134" xfId="0" applyBorder="1" applyAlignment="1">
      <alignment vertical="center"/>
    </xf>
    <xf numFmtId="0" fontId="0" fillId="16" borderId="0" xfId="0" applyFill="1" applyAlignment="1">
      <alignment vertical="center"/>
    </xf>
    <xf numFmtId="0" fontId="0" fillId="16" borderId="37" xfId="0" applyFill="1" applyBorder="1" applyAlignment="1">
      <alignment vertical="center"/>
    </xf>
    <xf numFmtId="0" fontId="3" fillId="16" borderId="135" xfId="0" applyFont="1" applyFill="1" applyBorder="1" applyAlignment="1">
      <alignment vertical="center"/>
    </xf>
    <xf numFmtId="0" fontId="0" fillId="16" borderId="110" xfId="0" applyFill="1" applyBorder="1" applyAlignment="1">
      <alignment vertical="center"/>
    </xf>
    <xf numFmtId="0" fontId="58" fillId="0" borderId="112" xfId="0" applyFont="1" applyBorder="1" applyAlignment="1">
      <alignment horizontal="right" vertical="center" wrapText="1"/>
    </xf>
    <xf numFmtId="0" fontId="0" fillId="0" borderId="113" xfId="0" applyBorder="1" applyAlignment="1">
      <alignment horizontal="right" vertical="center" wrapText="1"/>
    </xf>
    <xf numFmtId="0" fontId="2" fillId="7" borderId="137" xfId="0" applyFont="1" applyFill="1" applyBorder="1" applyAlignment="1">
      <alignment vertical="center"/>
    </xf>
    <xf numFmtId="0" fontId="0" fillId="16" borderId="112" xfId="0" applyFill="1" applyBorder="1" applyAlignment="1">
      <alignment vertical="center" wrapText="1"/>
    </xf>
    <xf numFmtId="0" fontId="11" fillId="7" borderId="111" xfId="0" applyFont="1" applyFill="1" applyBorder="1" applyAlignment="1">
      <alignment vertical="center" wrapText="1"/>
    </xf>
    <xf numFmtId="0" fontId="0" fillId="0" borderId="112" xfId="0" applyBorder="1" applyAlignment="1">
      <alignment vertical="center" wrapText="1"/>
    </xf>
    <xf numFmtId="0" fontId="42" fillId="0" borderId="98" xfId="0" applyFont="1" applyBorder="1" applyAlignment="1">
      <alignment horizontal="right"/>
    </xf>
    <xf numFmtId="0" fontId="42" fillId="0" borderId="99" xfId="0" applyFont="1" applyBorder="1" applyAlignment="1">
      <alignment horizontal="right"/>
    </xf>
    <xf numFmtId="0" fontId="11" fillId="7" borderId="135" xfId="0" applyFont="1" applyFill="1" applyBorder="1" applyAlignment="1">
      <alignment vertical="center"/>
    </xf>
    <xf numFmtId="0" fontId="11" fillId="7" borderId="0" xfId="0" applyFont="1" applyFill="1" applyAlignment="1">
      <alignment vertical="center"/>
    </xf>
    <xf numFmtId="0" fontId="11" fillId="7" borderId="37" xfId="0" applyFont="1" applyFill="1" applyBorder="1" applyAlignment="1">
      <alignment vertical="center"/>
    </xf>
    <xf numFmtId="4" fontId="3" fillId="7" borderId="144" xfId="0" applyNumberFormat="1" applyFont="1" applyFill="1" applyBorder="1" applyAlignment="1">
      <alignment vertical="center"/>
    </xf>
    <xf numFmtId="4" fontId="3" fillId="7" borderId="145" xfId="0" applyNumberFormat="1" applyFont="1" applyFill="1" applyBorder="1" applyAlignment="1">
      <alignment vertical="center"/>
    </xf>
    <xf numFmtId="4" fontId="3" fillId="2" borderId="133" xfId="0" applyNumberFormat="1" applyFont="1" applyFill="1" applyBorder="1" applyAlignment="1">
      <alignment vertical="center"/>
    </xf>
    <xf numFmtId="4" fontId="3" fillId="2" borderId="134" xfId="0" applyNumberFormat="1" applyFont="1" applyFill="1" applyBorder="1" applyAlignment="1">
      <alignment vertical="center"/>
    </xf>
    <xf numFmtId="0" fontId="3" fillId="7" borderId="135" xfId="0" applyFont="1" applyFill="1" applyBorder="1" applyAlignment="1">
      <alignment vertical="center"/>
    </xf>
    <xf numFmtId="0" fontId="36" fillId="7" borderId="135" xfId="0" applyFont="1" applyFill="1" applyBorder="1" applyAlignment="1">
      <alignment horizontal="center" vertical="center"/>
    </xf>
    <xf numFmtId="3" fontId="2" fillId="7" borderId="135" xfId="0" applyNumberFormat="1" applyFont="1" applyFill="1" applyBorder="1" applyAlignment="1">
      <alignment vertical="center"/>
    </xf>
    <xf numFmtId="4" fontId="3" fillId="7" borderId="143" xfId="0" applyNumberFormat="1" applyFont="1" applyFill="1" applyBorder="1" applyAlignment="1" applyProtection="1">
      <alignment vertical="center"/>
      <protection locked="0"/>
    </xf>
    <xf numFmtId="0" fontId="0" fillId="0" borderId="144" xfId="0" applyBorder="1" applyAlignment="1" applyProtection="1">
      <alignment vertical="center"/>
      <protection locked="0"/>
    </xf>
    <xf numFmtId="0" fontId="0" fillId="0" borderId="145" xfId="0" applyBorder="1" applyAlignment="1" applyProtection="1">
      <alignment vertical="center"/>
      <protection locked="0"/>
    </xf>
    <xf numFmtId="0" fontId="11" fillId="7" borderId="34" xfId="0" applyFont="1" applyFill="1" applyBorder="1" applyAlignment="1">
      <alignment vertical="center"/>
    </xf>
    <xf numFmtId="3" fontId="11" fillId="7" borderId="112" xfId="0" applyNumberFormat="1" applyFont="1" applyFill="1" applyBorder="1" applyAlignment="1">
      <alignment horizontal="left" vertical="center"/>
    </xf>
    <xf numFmtId="0" fontId="3" fillId="0" borderId="112" xfId="0" applyFont="1" applyBorder="1" applyAlignment="1">
      <alignment horizontal="left" vertical="center"/>
    </xf>
    <xf numFmtId="0" fontId="3" fillId="7" borderId="0" xfId="0" applyFont="1" applyFill="1" applyAlignment="1">
      <alignment vertical="center"/>
    </xf>
    <xf numFmtId="3" fontId="11" fillId="7" borderId="0" xfId="0" applyNumberFormat="1" applyFont="1" applyFill="1" applyAlignment="1">
      <alignment horizontal="left" vertical="center"/>
    </xf>
    <xf numFmtId="4" fontId="3" fillId="7" borderId="26" xfId="0" applyNumberFormat="1" applyFont="1" applyFill="1" applyBorder="1" applyAlignment="1">
      <alignment vertical="center"/>
    </xf>
    <xf numFmtId="0" fontId="0" fillId="0" borderId="95" xfId="0" applyBorder="1" applyAlignment="1">
      <alignment vertical="center"/>
    </xf>
    <xf numFmtId="0" fontId="3" fillId="7" borderId="34" xfId="0" applyFont="1" applyFill="1" applyBorder="1" applyAlignment="1">
      <alignment vertical="center"/>
    </xf>
    <xf numFmtId="3" fontId="58" fillId="7" borderId="0" xfId="0" applyNumberFormat="1" applyFont="1" applyFill="1" applyAlignment="1">
      <alignment horizontal="center" vertical="center"/>
    </xf>
    <xf numFmtId="0" fontId="0" fillId="0" borderId="104" xfId="0" applyBorder="1" applyAlignment="1">
      <alignment vertical="center"/>
    </xf>
    <xf numFmtId="4" fontId="3" fillId="7" borderId="26" xfId="0" applyNumberFormat="1" applyFont="1" applyFill="1" applyBorder="1" applyAlignment="1" applyProtection="1">
      <alignment vertical="center"/>
      <protection locked="0"/>
    </xf>
    <xf numFmtId="0" fontId="0" fillId="0" borderId="110" xfId="0" applyBorder="1" applyAlignment="1">
      <alignment vertical="center"/>
    </xf>
    <xf numFmtId="0" fontId="2" fillId="7" borderId="34" xfId="0" applyFont="1" applyFill="1" applyBorder="1" applyAlignment="1">
      <alignment vertical="center"/>
    </xf>
    <xf numFmtId="3" fontId="11" fillId="7" borderId="101" xfId="0" applyNumberFormat="1" applyFont="1" applyFill="1" applyBorder="1" applyAlignment="1">
      <alignment vertical="center" wrapText="1"/>
    </xf>
    <xf numFmtId="0" fontId="0" fillId="0" borderId="82" xfId="0"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0" fillId="0" borderId="104" xfId="0" applyBorder="1" applyAlignment="1">
      <alignment vertical="center" wrapText="1"/>
    </xf>
    <xf numFmtId="0" fontId="0" fillId="0" borderId="105" xfId="0" applyBorder="1" applyAlignment="1">
      <alignment vertical="center" wrapText="1"/>
    </xf>
    <xf numFmtId="0" fontId="0" fillId="0" borderId="81" xfId="0" applyBorder="1" applyAlignment="1">
      <alignment vertical="center" wrapText="1"/>
    </xf>
    <xf numFmtId="0" fontId="0" fillId="0" borderId="106" xfId="0" applyBorder="1" applyAlignment="1">
      <alignment vertical="center" wrapText="1"/>
    </xf>
    <xf numFmtId="0" fontId="11" fillId="2" borderId="103" xfId="0" applyFont="1" applyFill="1" applyBorder="1" applyAlignment="1">
      <alignment vertical="center"/>
    </xf>
    <xf numFmtId="0" fontId="0" fillId="0" borderId="103" xfId="0" applyBorder="1" applyAlignment="1">
      <alignment vertical="center"/>
    </xf>
    <xf numFmtId="3" fontId="58" fillId="7" borderId="95" xfId="0" applyNumberFormat="1" applyFont="1" applyFill="1" applyBorder="1" applyAlignment="1">
      <alignment horizontal="center" vertical="center"/>
    </xf>
    <xf numFmtId="0" fontId="0" fillId="0" borderId="95" xfId="0" applyBorder="1" applyAlignment="1">
      <alignment horizontal="center" vertical="center"/>
    </xf>
    <xf numFmtId="3" fontId="58" fillId="7" borderId="112" xfId="0" applyNumberFormat="1" applyFont="1" applyFill="1" applyBorder="1" applyAlignment="1">
      <alignment horizontal="center" vertical="center"/>
    </xf>
    <xf numFmtId="4" fontId="3" fillId="7" borderId="137" xfId="0" applyNumberFormat="1" applyFont="1" applyFill="1" applyBorder="1" applyAlignment="1" applyProtection="1">
      <alignment vertical="center"/>
      <protection locked="0"/>
    </xf>
    <xf numFmtId="0" fontId="0" fillId="0" borderId="135" xfId="0" applyBorder="1" applyAlignment="1">
      <alignment vertical="center"/>
    </xf>
    <xf numFmtId="0" fontId="3" fillId="16" borderId="34" xfId="0" applyFont="1" applyFill="1" applyBorder="1" applyAlignment="1">
      <alignment vertical="center"/>
    </xf>
    <xf numFmtId="4" fontId="0" fillId="0" borderId="26" xfId="0" applyNumberFormat="1" applyBorder="1" applyAlignment="1">
      <alignment vertical="center"/>
    </xf>
    <xf numFmtId="4" fontId="0" fillId="0" borderId="95" xfId="0" applyNumberFormat="1" applyBorder="1" applyAlignment="1">
      <alignment vertical="center"/>
    </xf>
    <xf numFmtId="4" fontId="0" fillId="0" borderId="69" xfId="0" applyNumberFormat="1" applyBorder="1" applyAlignment="1">
      <alignment vertical="center"/>
    </xf>
    <xf numFmtId="0" fontId="11" fillId="7" borderId="0" xfId="0" applyFont="1" applyFill="1" applyAlignment="1">
      <alignment horizontal="center" vertical="center"/>
    </xf>
    <xf numFmtId="0" fontId="11" fillId="16" borderId="34" xfId="0" applyFont="1" applyFill="1" applyBorder="1" applyAlignment="1">
      <alignment vertical="center"/>
    </xf>
    <xf numFmtId="0" fontId="11" fillId="0" borderId="0" xfId="0" applyFont="1" applyAlignment="1">
      <alignment vertical="center"/>
    </xf>
    <xf numFmtId="0" fontId="11" fillId="0" borderId="37" xfId="0" applyFont="1" applyBorder="1" applyAlignment="1">
      <alignment vertical="center"/>
    </xf>
    <xf numFmtId="0" fontId="11" fillId="7" borderId="34" xfId="0" applyFont="1" applyFill="1" applyBorder="1" applyAlignment="1">
      <alignment horizontal="center" vertical="center"/>
    </xf>
    <xf numFmtId="0" fontId="11" fillId="0" borderId="135" xfId="0" applyFont="1" applyBorder="1" applyAlignment="1">
      <alignment vertical="center"/>
    </xf>
    <xf numFmtId="0" fontId="11" fillId="7" borderId="111" xfId="0" applyFont="1" applyFill="1" applyBorder="1" applyAlignment="1">
      <alignment vertical="center"/>
    </xf>
    <xf numFmtId="0" fontId="0" fillId="0" borderId="112" xfId="0" applyBorder="1" applyAlignment="1">
      <alignment vertical="center"/>
    </xf>
    <xf numFmtId="0" fontId="0" fillId="0" borderId="113" xfId="0" applyBorder="1" applyAlignment="1">
      <alignment vertical="center"/>
    </xf>
    <xf numFmtId="0" fontId="2" fillId="7" borderId="26" xfId="0" applyFont="1" applyFill="1" applyBorder="1" applyAlignment="1">
      <alignment vertical="center"/>
    </xf>
    <xf numFmtId="0" fontId="2" fillId="7" borderId="95" xfId="0" applyFont="1" applyFill="1" applyBorder="1" applyAlignment="1">
      <alignment vertical="center"/>
    </xf>
    <xf numFmtId="0" fontId="2" fillId="7" borderId="69" xfId="0" applyFont="1" applyFill="1" applyBorder="1" applyAlignment="1">
      <alignment vertical="center"/>
    </xf>
    <xf numFmtId="0" fontId="3" fillId="7" borderId="97" xfId="0" applyFont="1" applyFill="1" applyBorder="1" applyAlignment="1">
      <alignment vertical="center"/>
    </xf>
    <xf numFmtId="0" fontId="0" fillId="0" borderId="99" xfId="0" applyBorder="1" applyAlignment="1">
      <alignment vertical="center"/>
    </xf>
    <xf numFmtId="0" fontId="58" fillId="0" borderId="34" xfId="0" applyFont="1" applyBorder="1" applyAlignment="1">
      <alignment horizontal="center" vertical="center"/>
    </xf>
    <xf numFmtId="0" fontId="58" fillId="0" borderId="0" xfId="0" applyFont="1" applyAlignment="1">
      <alignment horizontal="center" vertical="center"/>
    </xf>
    <xf numFmtId="0" fontId="58" fillId="0" borderId="37" xfId="0" applyFont="1" applyBorder="1" applyAlignment="1">
      <alignment horizontal="center" vertical="center"/>
    </xf>
    <xf numFmtId="0" fontId="11" fillId="7" borderId="34" xfId="0" applyFont="1" applyFill="1" applyBorder="1" applyAlignment="1">
      <alignment vertical="center" wrapText="1"/>
    </xf>
    <xf numFmtId="0" fontId="11" fillId="7" borderId="0" xfId="0" applyFont="1" applyFill="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0" borderId="0" xfId="0" applyFont="1" applyAlignment="1">
      <alignment vertical="top" wrapText="1"/>
    </xf>
    <xf numFmtId="0" fontId="3" fillId="0" borderId="135" xfId="0" applyFont="1" applyBorder="1" applyAlignment="1">
      <alignment vertical="top" wrapText="1"/>
    </xf>
    <xf numFmtId="0" fontId="2" fillId="7" borderId="133" xfId="0" applyFont="1" applyFill="1" applyBorder="1" applyAlignment="1">
      <alignment vertical="center"/>
    </xf>
    <xf numFmtId="0" fontId="2" fillId="7" borderId="134" xfId="0" applyFont="1" applyFill="1" applyBorder="1" applyAlignment="1">
      <alignment vertical="center"/>
    </xf>
    <xf numFmtId="0" fontId="58" fillId="7" borderId="34" xfId="0" applyFont="1" applyFill="1" applyBorder="1" applyAlignment="1">
      <alignment vertical="center" wrapText="1"/>
    </xf>
    <xf numFmtId="0" fontId="2" fillId="2" borderId="0" xfId="0" applyFont="1" applyFill="1" applyAlignment="1">
      <alignment vertical="center"/>
    </xf>
    <xf numFmtId="0" fontId="2" fillId="2" borderId="37" xfId="0" applyFont="1" applyFill="1" applyBorder="1" applyAlignment="1">
      <alignment vertical="center"/>
    </xf>
    <xf numFmtId="0" fontId="3" fillId="0" borderId="0" xfId="0" applyFont="1" applyAlignment="1">
      <alignment vertical="center"/>
    </xf>
    <xf numFmtId="0" fontId="58" fillId="7" borderId="34" xfId="0" applyFont="1" applyFill="1" applyBorder="1" applyAlignment="1">
      <alignment vertical="center"/>
    </xf>
    <xf numFmtId="49" fontId="58" fillId="7"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2" borderId="37" xfId="0" applyNumberFormat="1" applyFont="1" applyFill="1" applyBorder="1" applyAlignment="1">
      <alignment horizontal="center" vertical="center"/>
    </xf>
    <xf numFmtId="0" fontId="3" fillId="7" borderId="109" xfId="0" applyFont="1" applyFill="1" applyBorder="1" applyAlignment="1">
      <alignment vertical="center"/>
    </xf>
    <xf numFmtId="0" fontId="3" fillId="7" borderId="110" xfId="0" applyFont="1" applyFill="1" applyBorder="1" applyAlignment="1">
      <alignment vertical="center"/>
    </xf>
    <xf numFmtId="0" fontId="58" fillId="7" borderId="135" xfId="0" applyFont="1" applyFill="1" applyBorder="1" applyAlignment="1">
      <alignment vertical="center"/>
    </xf>
    <xf numFmtId="0" fontId="2" fillId="0" borderId="0" xfId="0" applyFont="1" applyAlignment="1">
      <alignment vertical="center"/>
    </xf>
    <xf numFmtId="0" fontId="2" fillId="0" borderId="110" xfId="0" applyFont="1" applyBorder="1" applyAlignment="1">
      <alignment vertical="center"/>
    </xf>
    <xf numFmtId="0" fontId="11" fillId="7" borderId="135" xfId="0" applyFont="1" applyFill="1" applyBorder="1" applyAlignment="1">
      <alignment vertical="top" wrapText="1"/>
    </xf>
    <xf numFmtId="0" fontId="11" fillId="7" borderId="109" xfId="0" applyFont="1" applyFill="1" applyBorder="1" applyAlignment="1">
      <alignment vertical="center"/>
    </xf>
    <xf numFmtId="0" fontId="3" fillId="7" borderId="61" xfId="0" applyFont="1" applyFill="1" applyBorder="1" applyAlignment="1">
      <alignment vertical="center"/>
    </xf>
    <xf numFmtId="0" fontId="11" fillId="7" borderId="60" xfId="0" applyFont="1" applyFill="1" applyBorder="1" applyAlignment="1">
      <alignment vertical="center"/>
    </xf>
    <xf numFmtId="0" fontId="3" fillId="2" borderId="37" xfId="0" applyFont="1" applyFill="1" applyBorder="1" applyAlignment="1">
      <alignment vertical="center"/>
    </xf>
    <xf numFmtId="49" fontId="3" fillId="7" borderId="26" xfId="0" applyNumberFormat="1" applyFont="1" applyFill="1" applyBorder="1" applyAlignment="1">
      <alignment vertical="center"/>
    </xf>
    <xf numFmtId="0" fontId="3" fillId="7" borderId="26" xfId="0" applyFont="1" applyFill="1" applyBorder="1" applyAlignment="1">
      <alignment horizontal="left" vertical="center"/>
    </xf>
    <xf numFmtId="0" fontId="0" fillId="0" borderId="95" xfId="0" applyBorder="1" applyAlignment="1">
      <alignment horizontal="left" vertical="center"/>
    </xf>
    <xf numFmtId="0" fontId="0" fillId="0" borderId="69" xfId="0" applyBorder="1" applyAlignment="1">
      <alignment horizontal="left" vertical="center"/>
    </xf>
    <xf numFmtId="0" fontId="3" fillId="7" borderId="26" xfId="0" applyFont="1" applyFill="1" applyBorder="1" applyAlignment="1" applyProtection="1">
      <alignment horizontal="left" vertical="center"/>
      <protection locked="0"/>
    </xf>
    <xf numFmtId="0" fontId="0" fillId="0" borderId="95" xfId="0" applyBorder="1" applyAlignment="1" applyProtection="1">
      <alignment horizontal="left" vertical="center"/>
      <protection locked="0"/>
    </xf>
    <xf numFmtId="0" fontId="0" fillId="0" borderId="69" xfId="0" applyBorder="1" applyAlignment="1" applyProtection="1">
      <alignment horizontal="left" vertical="center"/>
      <protection locked="0"/>
    </xf>
    <xf numFmtId="3" fontId="3" fillId="2" borderId="26" xfId="0" applyNumberFormat="1" applyFont="1" applyFill="1" applyBorder="1" applyAlignment="1" applyProtection="1">
      <alignment horizontal="center" vertical="center"/>
      <protection locked="0"/>
    </xf>
    <xf numFmtId="0" fontId="0" fillId="0" borderId="95" xfId="0" applyBorder="1" applyAlignment="1" applyProtection="1">
      <alignment vertical="center"/>
      <protection locked="0"/>
    </xf>
    <xf numFmtId="166" fontId="3" fillId="7" borderId="26" xfId="0" applyNumberFormat="1" applyFont="1" applyFill="1" applyBorder="1" applyAlignment="1" applyProtection="1">
      <alignment horizontal="left" vertical="center"/>
      <protection locked="0"/>
    </xf>
    <xf numFmtId="166" fontId="0" fillId="0" borderId="69" xfId="0" applyNumberFormat="1" applyBorder="1" applyAlignment="1" applyProtection="1">
      <alignment horizontal="left" vertical="center"/>
      <protection locked="0"/>
    </xf>
    <xf numFmtId="0" fontId="11" fillId="7" borderId="26" xfId="0" applyFont="1" applyFill="1" applyBorder="1" applyAlignment="1">
      <alignment vertical="center"/>
    </xf>
    <xf numFmtId="0" fontId="11" fillId="7" borderId="112" xfId="0" applyFont="1" applyFill="1" applyBorder="1" applyAlignment="1">
      <alignment vertical="center"/>
    </xf>
    <xf numFmtId="0" fontId="11" fillId="7" borderId="98" xfId="0" applyFont="1" applyFill="1" applyBorder="1" applyAlignment="1">
      <alignment vertical="center"/>
    </xf>
    <xf numFmtId="0" fontId="11" fillId="2" borderId="98" xfId="0" applyFont="1" applyFill="1" applyBorder="1" applyAlignment="1">
      <alignment vertical="center"/>
    </xf>
    <xf numFmtId="0" fontId="11" fillId="0" borderId="98" xfId="0" applyFont="1" applyBorder="1" applyAlignment="1">
      <alignment vertical="center"/>
    </xf>
    <xf numFmtId="0" fontId="11" fillId="0" borderId="99" xfId="0" applyFont="1" applyBorder="1" applyAlignment="1">
      <alignment vertical="center"/>
    </xf>
    <xf numFmtId="49" fontId="2" fillId="7" borderId="26" xfId="0" applyNumberFormat="1" applyFont="1" applyFill="1" applyBorder="1" applyAlignment="1">
      <alignment vertical="center"/>
    </xf>
    <xf numFmtId="49" fontId="2" fillId="7" borderId="95" xfId="0" applyNumberFormat="1" applyFont="1" applyFill="1" applyBorder="1" applyAlignment="1">
      <alignment vertical="center"/>
    </xf>
    <xf numFmtId="0" fontId="2" fillId="2" borderId="95" xfId="0" applyFont="1" applyFill="1" applyBorder="1" applyAlignment="1">
      <alignment vertical="center"/>
    </xf>
    <xf numFmtId="0" fontId="3" fillId="7" borderId="26" xfId="0" applyFont="1" applyFill="1" applyBorder="1" applyAlignment="1" applyProtection="1">
      <alignment vertical="center"/>
      <protection locked="0"/>
    </xf>
    <xf numFmtId="0" fontId="3" fillId="2" borderId="26" xfId="0" applyFont="1" applyFill="1" applyBorder="1" applyAlignment="1">
      <alignment horizontal="center" vertical="center"/>
    </xf>
    <xf numFmtId="0" fontId="11" fillId="2" borderId="112" xfId="0" applyFont="1" applyFill="1" applyBorder="1" applyAlignment="1">
      <alignment horizontal="left" vertical="center"/>
    </xf>
    <xf numFmtId="0" fontId="3" fillId="2" borderId="0" xfId="0" applyFont="1" applyFill="1" applyAlignment="1">
      <alignment horizontal="center"/>
    </xf>
    <xf numFmtId="0" fontId="3" fillId="7" borderId="0" xfId="0" applyFont="1" applyFill="1"/>
    <xf numFmtId="0" fontId="76" fillId="7" borderId="0" xfId="0" applyFont="1" applyFill="1" applyAlignment="1">
      <alignment horizontal="center" vertical="center"/>
    </xf>
    <xf numFmtId="0" fontId="2" fillId="7" borderId="0" xfId="0" applyFont="1" applyFill="1" applyAlignment="1">
      <alignment horizontal="center" vertical="center"/>
    </xf>
    <xf numFmtId="0" fontId="3" fillId="7" borderId="42" xfId="0" applyFont="1" applyFill="1" applyBorder="1"/>
    <xf numFmtId="0" fontId="2" fillId="7" borderId="23" xfId="0" applyFont="1" applyFill="1" applyBorder="1" applyAlignment="1">
      <alignment vertical="center"/>
    </xf>
    <xf numFmtId="0" fontId="3" fillId="0" borderId="23" xfId="0" applyFont="1" applyBorder="1" applyAlignment="1">
      <alignment vertical="center"/>
    </xf>
    <xf numFmtId="0" fontId="3" fillId="0" borderId="69" xfId="0" applyFont="1" applyBorder="1" applyAlignment="1">
      <alignment vertical="center"/>
    </xf>
    <xf numFmtId="0" fontId="11" fillId="7" borderId="95" xfId="0" applyFont="1" applyFill="1" applyBorder="1" applyAlignment="1">
      <alignment vertical="center"/>
    </xf>
    <xf numFmtId="0" fontId="3" fillId="7" borderId="110" xfId="0" applyFont="1" applyFill="1" applyBorder="1"/>
    <xf numFmtId="0" fontId="3" fillId="7" borderId="109" xfId="0" applyFont="1" applyFill="1" applyBorder="1"/>
    <xf numFmtId="0" fontId="3" fillId="2" borderId="0" xfId="0" applyFont="1" applyFill="1"/>
    <xf numFmtId="0" fontId="3" fillId="2" borderId="110" xfId="0" applyFont="1" applyFill="1" applyBorder="1"/>
    <xf numFmtId="0" fontId="58" fillId="2" borderId="109" xfId="0" applyFont="1" applyFill="1" applyBorder="1" applyAlignment="1">
      <alignment horizontal="right"/>
    </xf>
    <xf numFmtId="0" fontId="58" fillId="2" borderId="0" xfId="0" applyFont="1" applyFill="1" applyAlignment="1">
      <alignment horizontal="right"/>
    </xf>
    <xf numFmtId="0" fontId="58" fillId="7" borderId="112" xfId="0" applyFont="1" applyFill="1" applyBorder="1" applyAlignment="1">
      <alignment vertical="center"/>
    </xf>
    <xf numFmtId="0" fontId="58" fillId="7" borderId="92" xfId="0" applyFont="1" applyFill="1" applyBorder="1" applyAlignment="1">
      <alignment vertical="center"/>
    </xf>
    <xf numFmtId="0" fontId="2" fillId="2" borderId="92" xfId="0" applyFont="1" applyFill="1" applyBorder="1" applyAlignment="1">
      <alignment vertical="center"/>
    </xf>
    <xf numFmtId="0" fontId="2" fillId="0" borderId="92" xfId="0" applyFont="1" applyBorder="1" applyAlignment="1">
      <alignment vertical="center"/>
    </xf>
    <xf numFmtId="0" fontId="3" fillId="7" borderId="23" xfId="0" applyFont="1" applyFill="1" applyBorder="1" applyAlignment="1" applyProtection="1">
      <alignment horizontal="left" vertical="center"/>
      <protection locked="0"/>
    </xf>
    <xf numFmtId="0" fontId="3" fillId="7" borderId="69" xfId="0" applyFont="1" applyFill="1" applyBorder="1" applyAlignment="1" applyProtection="1">
      <alignment horizontal="left" vertical="center"/>
      <protection locked="0"/>
    </xf>
    <xf numFmtId="1" fontId="2" fillId="7" borderId="89" xfId="0" applyNumberFormat="1" applyFont="1" applyFill="1" applyBorder="1" applyAlignment="1" applyProtection="1">
      <alignment horizontal="left" vertical="center"/>
      <protection locked="0"/>
    </xf>
    <xf numFmtId="1" fontId="2" fillId="7" borderId="90" xfId="0" applyNumberFormat="1" applyFont="1" applyFill="1" applyBorder="1" applyAlignment="1" applyProtection="1">
      <alignment horizontal="left" vertical="center"/>
      <protection locked="0"/>
    </xf>
    <xf numFmtId="1" fontId="2" fillId="2" borderId="90" xfId="0" applyNumberFormat="1" applyFont="1" applyFill="1" applyBorder="1" applyAlignment="1" applyProtection="1">
      <alignment horizontal="left" vertical="center"/>
      <protection locked="0"/>
    </xf>
    <xf numFmtId="1" fontId="2" fillId="0" borderId="90" xfId="0" applyNumberFormat="1" applyFont="1" applyBorder="1" applyAlignment="1" applyProtection="1">
      <alignment horizontal="left" vertical="center"/>
      <protection locked="0"/>
    </xf>
    <xf numFmtId="1" fontId="2" fillId="0" borderId="91" xfId="0" applyNumberFormat="1" applyFont="1" applyBorder="1" applyAlignment="1" applyProtection="1">
      <alignment horizontal="left" vertical="center"/>
      <protection locked="0"/>
    </xf>
    <xf numFmtId="0" fontId="11" fillId="21" borderId="135" xfId="0" applyFont="1" applyFill="1" applyBorder="1" applyAlignment="1">
      <alignment horizontal="left" vertical="center" wrapText="1"/>
    </xf>
    <xf numFmtId="0" fontId="11" fillId="7" borderId="135" xfId="0" applyFont="1" applyFill="1" applyBorder="1" applyAlignment="1">
      <alignment horizontal="right" vertical="center"/>
    </xf>
    <xf numFmtId="0" fontId="3" fillId="0" borderId="0" xfId="0" applyFont="1" applyAlignment="1">
      <alignment horizontal="right" vertical="center"/>
    </xf>
    <xf numFmtId="0" fontId="11" fillId="7" borderId="0" xfId="0" applyFont="1" applyFill="1" applyAlignment="1">
      <alignment horizontal="right" vertical="center"/>
    </xf>
    <xf numFmtId="0" fontId="3" fillId="0" borderId="110" xfId="0" applyFont="1" applyBorder="1" applyAlignment="1">
      <alignment horizontal="right" vertical="center"/>
    </xf>
    <xf numFmtId="0" fontId="3" fillId="7" borderId="130" xfId="0" applyFont="1" applyFill="1" applyBorder="1" applyAlignment="1">
      <alignment vertical="center"/>
    </xf>
    <xf numFmtId="0" fontId="3" fillId="7" borderId="37" xfId="0" applyFont="1" applyFill="1" applyBorder="1" applyAlignment="1">
      <alignment vertical="center"/>
    </xf>
    <xf numFmtId="0" fontId="11" fillId="7" borderId="138" xfId="0" applyFont="1" applyFill="1" applyBorder="1" applyAlignment="1">
      <alignment vertical="center" wrapText="1"/>
    </xf>
    <xf numFmtId="0" fontId="0" fillId="0" borderId="139" xfId="0" applyBorder="1" applyAlignment="1">
      <alignment vertical="center" wrapText="1"/>
    </xf>
    <xf numFmtId="0" fontId="0" fillId="0" borderId="140" xfId="0" applyBorder="1" applyAlignment="1">
      <alignment vertical="center" wrapText="1"/>
    </xf>
    <xf numFmtId="0" fontId="3" fillId="7" borderId="26" xfId="0" applyFont="1" applyFill="1" applyBorder="1" applyAlignment="1" applyProtection="1">
      <alignment horizontal="center" vertical="center"/>
      <protection locked="0"/>
    </xf>
    <xf numFmtId="0" fontId="3" fillId="7" borderId="95" xfId="0" applyFont="1" applyFill="1" applyBorder="1" applyAlignment="1" applyProtection="1">
      <alignment horizontal="center" vertical="center"/>
      <protection locked="0"/>
    </xf>
    <xf numFmtId="0" fontId="3" fillId="2" borderId="95" xfId="0" applyFont="1" applyFill="1" applyBorder="1" applyAlignment="1" applyProtection="1">
      <alignment horizontal="center" vertical="center"/>
      <protection locked="0"/>
    </xf>
    <xf numFmtId="0" fontId="3" fillId="2" borderId="69" xfId="0" applyFont="1" applyFill="1" applyBorder="1" applyAlignment="1" applyProtection="1">
      <alignment horizontal="center" vertical="center"/>
      <protection locked="0"/>
    </xf>
    <xf numFmtId="0" fontId="3" fillId="2" borderId="95" xfId="0" applyFont="1" applyFill="1" applyBorder="1" applyAlignment="1" applyProtection="1">
      <alignment horizontal="left" vertical="center"/>
      <protection locked="0"/>
    </xf>
    <xf numFmtId="0" fontId="3" fillId="2" borderId="69" xfId="0" applyFont="1" applyFill="1" applyBorder="1" applyAlignment="1" applyProtection="1">
      <alignment horizontal="left" vertical="center"/>
      <protection locked="0"/>
    </xf>
    <xf numFmtId="0" fontId="3" fillId="7" borderId="95" xfId="0" applyFont="1" applyFill="1" applyBorder="1" applyAlignment="1" applyProtection="1">
      <alignment horizontal="left" vertical="center"/>
      <protection locked="0"/>
    </xf>
    <xf numFmtId="3" fontId="3" fillId="7" borderId="26" xfId="0" applyNumberFormat="1" applyFont="1" applyFill="1" applyBorder="1" applyAlignment="1" applyProtection="1">
      <alignment horizontal="left" vertical="center"/>
      <protection locked="0"/>
    </xf>
    <xf numFmtId="3" fontId="3" fillId="7" borderId="95" xfId="0" applyNumberFormat="1" applyFont="1" applyFill="1" applyBorder="1" applyAlignment="1" applyProtection="1">
      <alignment horizontal="left" vertical="center"/>
      <protection locked="0"/>
    </xf>
    <xf numFmtId="3" fontId="3" fillId="7" borderId="69" xfId="0" applyNumberFormat="1" applyFont="1" applyFill="1" applyBorder="1" applyAlignment="1" applyProtection="1">
      <alignment horizontal="left" vertical="center"/>
      <protection locked="0"/>
    </xf>
    <xf numFmtId="0" fontId="3" fillId="7" borderId="69" xfId="0" applyFont="1" applyFill="1" applyBorder="1" applyAlignment="1" applyProtection="1">
      <alignment horizontal="center" vertical="center"/>
      <protection locked="0"/>
    </xf>
    <xf numFmtId="0" fontId="3" fillId="2" borderId="98" xfId="0" applyFont="1" applyFill="1" applyBorder="1" applyAlignment="1">
      <alignment vertical="center"/>
    </xf>
    <xf numFmtId="0" fontId="3" fillId="0" borderId="37" xfId="0" applyFont="1" applyBorder="1" applyAlignment="1">
      <alignment horizontal="right" vertical="center"/>
    </xf>
    <xf numFmtId="0" fontId="2" fillId="7" borderId="97" xfId="0" applyFont="1" applyFill="1" applyBorder="1" applyAlignment="1">
      <alignment vertical="center"/>
    </xf>
    <xf numFmtId="0" fontId="58" fillId="7" borderId="135" xfId="0" applyFont="1" applyFill="1" applyBorder="1" applyAlignment="1">
      <alignment vertical="center" wrapText="1"/>
    </xf>
    <xf numFmtId="0" fontId="2" fillId="0" borderId="0" xfId="0" applyFont="1" applyAlignment="1">
      <alignment vertical="center" wrapText="1"/>
    </xf>
    <xf numFmtId="0" fontId="2" fillId="0" borderId="110" xfId="0" applyFont="1" applyBorder="1" applyAlignment="1">
      <alignment vertical="center" wrapText="1"/>
    </xf>
    <xf numFmtId="0" fontId="36" fillId="7" borderId="135" xfId="0" applyFont="1" applyFill="1" applyBorder="1" applyAlignment="1">
      <alignment vertical="center" wrapText="1"/>
    </xf>
    <xf numFmtId="0" fontId="68" fillId="0" borderId="0" xfId="0" applyFont="1" applyAlignment="1">
      <alignment vertical="center" wrapText="1"/>
    </xf>
    <xf numFmtId="0" fontId="68" fillId="0" borderId="37" xfId="0" applyFont="1" applyBorder="1" applyAlignment="1">
      <alignment vertical="center" wrapText="1"/>
    </xf>
    <xf numFmtId="14" fontId="3" fillId="7" borderId="26" xfId="0" applyNumberFormat="1" applyFont="1" applyFill="1"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3" fillId="0" borderId="26" xfId="0" applyFont="1" applyBorder="1" applyAlignment="1" applyProtection="1">
      <alignment vertical="center"/>
      <protection locked="0"/>
    </xf>
    <xf numFmtId="0" fontId="36" fillId="7" borderId="111" xfId="0" applyFont="1" applyFill="1" applyBorder="1" applyAlignment="1">
      <alignment horizontal="center"/>
    </xf>
    <xf numFmtId="0" fontId="36" fillId="7" borderId="112" xfId="0" applyFont="1" applyFill="1" applyBorder="1" applyAlignment="1">
      <alignment horizontal="center"/>
    </xf>
    <xf numFmtId="0" fontId="84" fillId="7" borderId="112" xfId="0" applyFont="1" applyFill="1" applyBorder="1" applyAlignment="1">
      <alignment horizontal="left" vertical="center"/>
    </xf>
    <xf numFmtId="0" fontId="3" fillId="2" borderId="112" xfId="0" applyFont="1" applyFill="1" applyBorder="1" applyAlignment="1">
      <alignment horizontal="left" vertical="center"/>
    </xf>
    <xf numFmtId="0" fontId="3" fillId="2" borderId="113" xfId="0" applyFont="1" applyFill="1" applyBorder="1"/>
    <xf numFmtId="0" fontId="11" fillId="7" borderId="98" xfId="0" applyFont="1" applyFill="1" applyBorder="1" applyAlignment="1">
      <alignment horizontal="left" vertical="center"/>
    </xf>
    <xf numFmtId="0" fontId="11" fillId="7" borderId="99" xfId="0" applyFont="1" applyFill="1" applyBorder="1" applyAlignment="1">
      <alignment horizontal="left" vertical="center"/>
    </xf>
    <xf numFmtId="0" fontId="3" fillId="7" borderId="26" xfId="0" applyFont="1" applyFill="1" applyBorder="1" applyAlignment="1">
      <alignment horizontal="center" vertical="center"/>
    </xf>
    <xf numFmtId="0" fontId="3" fillId="7" borderId="95" xfId="0" applyFont="1" applyFill="1" applyBorder="1" applyAlignment="1">
      <alignment horizontal="center" vertical="center"/>
    </xf>
    <xf numFmtId="0" fontId="3" fillId="7" borderId="69" xfId="0" applyFont="1" applyFill="1" applyBorder="1" applyAlignment="1">
      <alignment horizontal="center" vertical="center"/>
    </xf>
    <xf numFmtId="0" fontId="11" fillId="2" borderId="113" xfId="0" applyFont="1" applyFill="1" applyBorder="1" applyAlignment="1">
      <alignment horizontal="left" vertical="center"/>
    </xf>
    <xf numFmtId="14" fontId="3" fillId="7" borderId="123" xfId="0" applyNumberFormat="1" applyFont="1" applyFill="1" applyBorder="1" applyAlignment="1" applyProtection="1">
      <alignment horizontal="center" vertical="center"/>
      <protection locked="0"/>
    </xf>
    <xf numFmtId="0" fontId="3" fillId="7" borderId="96" xfId="0" applyFont="1" applyFill="1" applyBorder="1" applyAlignment="1" applyProtection="1">
      <alignment horizontal="center" vertical="center"/>
      <protection locked="0"/>
    </xf>
    <xf numFmtId="0" fontId="11" fillId="7" borderId="97" xfId="0" applyFont="1" applyFill="1" applyBorder="1" applyAlignment="1">
      <alignment horizontal="center"/>
    </xf>
    <xf numFmtId="0" fontId="11" fillId="7" borderId="98" xfId="0" applyFont="1" applyFill="1" applyBorder="1" applyAlignment="1">
      <alignment horizontal="center"/>
    </xf>
    <xf numFmtId="0" fontId="11" fillId="7" borderId="99" xfId="0" applyFont="1" applyFill="1" applyBorder="1" applyAlignment="1">
      <alignment horizontal="center"/>
    </xf>
    <xf numFmtId="0" fontId="11" fillId="7" borderId="34" xfId="0" applyFont="1" applyFill="1" applyBorder="1" applyAlignment="1">
      <alignment horizontal="center"/>
    </xf>
    <xf numFmtId="0" fontId="11" fillId="7" borderId="0" xfId="0" applyFont="1" applyFill="1" applyAlignment="1">
      <alignment horizontal="center"/>
    </xf>
    <xf numFmtId="0" fontId="11" fillId="7" borderId="37" xfId="0" applyFont="1" applyFill="1" applyBorder="1" applyAlignment="1">
      <alignment horizontal="center"/>
    </xf>
    <xf numFmtId="0" fontId="11" fillId="7" borderId="111" xfId="0" applyFont="1" applyFill="1" applyBorder="1" applyAlignment="1">
      <alignment horizontal="center"/>
    </xf>
    <xf numFmtId="0" fontId="11" fillId="7" borderId="112" xfId="0" applyFont="1" applyFill="1" applyBorder="1" applyAlignment="1">
      <alignment horizontal="center"/>
    </xf>
    <xf numFmtId="0" fontId="11" fillId="7" borderId="113" xfId="0" applyFont="1" applyFill="1" applyBorder="1" applyAlignment="1">
      <alignment horizontal="center"/>
    </xf>
    <xf numFmtId="14" fontId="3" fillId="7" borderId="26" xfId="0" applyNumberFormat="1" applyFont="1" applyFill="1" applyBorder="1" applyAlignment="1">
      <alignment horizontal="center" vertical="center"/>
    </xf>
    <xf numFmtId="0" fontId="42" fillId="7" borderId="0" xfId="0" applyFont="1" applyFill="1" applyAlignment="1">
      <alignment horizontal="right" vertical="center"/>
    </xf>
    <xf numFmtId="0" fontId="42" fillId="0" borderId="110" xfId="0" applyFont="1" applyBorder="1" applyAlignment="1">
      <alignment horizontal="right" vertical="center"/>
    </xf>
    <xf numFmtId="0" fontId="3" fillId="7" borderId="47" xfId="0" applyFont="1" applyFill="1" applyBorder="1" applyAlignment="1">
      <alignment vertical="center"/>
    </xf>
    <xf numFmtId="0" fontId="3" fillId="7" borderId="112" xfId="0" applyFont="1" applyFill="1" applyBorder="1" applyAlignment="1">
      <alignment vertical="center"/>
    </xf>
    <xf numFmtId="0" fontId="2" fillId="7" borderId="94" xfId="0" applyFont="1" applyFill="1" applyBorder="1" applyAlignment="1">
      <alignment vertical="center"/>
    </xf>
    <xf numFmtId="0" fontId="2" fillId="7" borderId="126" xfId="0" applyFont="1" applyFill="1" applyBorder="1" applyAlignment="1">
      <alignment vertical="center"/>
    </xf>
    <xf numFmtId="0" fontId="0" fillId="0" borderId="126" xfId="0" applyBorder="1" applyAlignment="1">
      <alignment vertical="center"/>
    </xf>
    <xf numFmtId="0" fontId="0" fillId="0" borderId="127" xfId="0" applyBorder="1" applyAlignment="1">
      <alignment vertical="center"/>
    </xf>
    <xf numFmtId="0" fontId="3" fillId="7" borderId="98" xfId="0" applyFont="1" applyFill="1" applyBorder="1" applyAlignment="1">
      <alignment vertical="center"/>
    </xf>
    <xf numFmtId="0" fontId="3" fillId="7" borderId="99" xfId="0" applyFont="1" applyFill="1" applyBorder="1" applyAlignment="1">
      <alignment vertical="center"/>
    </xf>
    <xf numFmtId="0" fontId="11" fillId="7" borderId="97" xfId="0" applyFont="1" applyFill="1" applyBorder="1" applyAlignment="1">
      <alignment horizontal="left" vertical="center" wrapText="1"/>
    </xf>
    <xf numFmtId="0" fontId="0" fillId="0" borderId="98" xfId="0" applyBorder="1" applyAlignment="1">
      <alignment horizontal="left" vertical="center" wrapText="1"/>
    </xf>
    <xf numFmtId="0" fontId="0" fillId="0" borderId="98" xfId="0" applyBorder="1" applyAlignment="1">
      <alignment horizontal="left" vertical="center"/>
    </xf>
    <xf numFmtId="0" fontId="0" fillId="0" borderId="99" xfId="0" applyBorder="1" applyAlignment="1">
      <alignment horizontal="left" vertical="center"/>
    </xf>
    <xf numFmtId="0" fontId="2" fillId="7" borderId="37" xfId="0" applyFont="1" applyFill="1" applyBorder="1" applyAlignment="1">
      <alignment horizontal="center" vertical="center"/>
    </xf>
    <xf numFmtId="0" fontId="11" fillId="7" borderId="0" xfId="0" applyFont="1" applyFill="1" applyAlignment="1">
      <alignment horizontal="left" vertical="center"/>
    </xf>
    <xf numFmtId="0" fontId="11" fillId="7" borderId="37" xfId="0" applyFont="1" applyFill="1" applyBorder="1" applyAlignment="1">
      <alignment horizontal="left" vertical="center"/>
    </xf>
    <xf numFmtId="0" fontId="11" fillId="7" borderId="135" xfId="0" applyFont="1" applyFill="1" applyBorder="1" applyAlignment="1">
      <alignment vertical="center" wrapText="1"/>
    </xf>
    <xf numFmtId="0" fontId="0" fillId="0" borderId="37" xfId="0" applyBorder="1" applyAlignment="1">
      <alignment vertical="center" wrapText="1"/>
    </xf>
    <xf numFmtId="14" fontId="0" fillId="0" borderId="143" xfId="0" applyNumberFormat="1"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145" xfId="0" applyBorder="1" applyAlignment="1" applyProtection="1">
      <alignment horizontal="center" vertical="center"/>
      <protection locked="0"/>
    </xf>
    <xf numFmtId="49" fontId="3" fillId="7" borderId="26" xfId="0" applyNumberFormat="1" applyFont="1" applyFill="1" applyBorder="1" applyAlignment="1" applyProtection="1">
      <alignment horizontal="center" vertical="center"/>
      <protection locked="0"/>
    </xf>
    <xf numFmtId="49" fontId="3" fillId="7" borderId="95" xfId="0" applyNumberFormat="1" applyFont="1" applyFill="1" applyBorder="1" applyAlignment="1" applyProtection="1">
      <alignment horizontal="center" vertical="center"/>
      <protection locked="0"/>
    </xf>
    <xf numFmtId="49" fontId="3" fillId="2" borderId="95" xfId="0" applyNumberFormat="1" applyFont="1" applyFill="1" applyBorder="1" applyAlignment="1" applyProtection="1">
      <alignment horizontal="center" vertical="center"/>
      <protection locked="0"/>
    </xf>
    <xf numFmtId="49" fontId="3" fillId="2" borderId="69" xfId="0" applyNumberFormat="1" applyFont="1" applyFill="1" applyBorder="1" applyAlignment="1" applyProtection="1">
      <alignment horizontal="center" vertical="center"/>
      <protection locked="0"/>
    </xf>
    <xf numFmtId="0" fontId="0" fillId="0" borderId="110" xfId="0" applyBorder="1" applyAlignment="1">
      <alignment vertical="center" wrapText="1"/>
    </xf>
    <xf numFmtId="0" fontId="3" fillId="2" borderId="26" xfId="0" applyFont="1" applyFill="1" applyBorder="1" applyAlignment="1" applyProtection="1">
      <alignment horizontal="center" vertical="center"/>
      <protection locked="0"/>
    </xf>
    <xf numFmtId="0" fontId="3" fillId="7" borderId="26" xfId="0" applyFont="1" applyFill="1" applyBorder="1" applyAlignment="1" applyProtection="1">
      <alignment vertical="center" wrapText="1"/>
      <protection locked="0"/>
    </xf>
    <xf numFmtId="0" fontId="0" fillId="0" borderId="95" xfId="0" applyBorder="1" applyAlignment="1" applyProtection="1">
      <alignment vertical="center" wrapText="1"/>
      <protection locked="0"/>
    </xf>
    <xf numFmtId="0" fontId="0" fillId="0" borderId="69" xfId="0" applyBorder="1" applyAlignment="1" applyProtection="1">
      <alignment vertical="center" wrapText="1"/>
      <protection locked="0"/>
    </xf>
    <xf numFmtId="0" fontId="76" fillId="7" borderId="135" xfId="0" applyFont="1" applyFill="1" applyBorder="1" applyAlignment="1">
      <alignment vertical="center"/>
    </xf>
    <xf numFmtId="4" fontId="3" fillId="7" borderId="132" xfId="0" applyNumberFormat="1" applyFont="1" applyFill="1" applyBorder="1" applyAlignment="1" applyProtection="1">
      <alignment vertical="center"/>
      <protection locked="0"/>
    </xf>
    <xf numFmtId="0" fontId="0" fillId="0" borderId="133" xfId="0" applyBorder="1" applyAlignment="1" applyProtection="1">
      <alignment vertical="center"/>
      <protection locked="0"/>
    </xf>
    <xf numFmtId="0" fontId="0" fillId="0" borderId="134" xfId="0" applyBorder="1" applyAlignment="1" applyProtection="1">
      <alignment vertical="center"/>
      <protection locked="0"/>
    </xf>
    <xf numFmtId="0" fontId="0" fillId="0" borderId="110" xfId="0" applyBorder="1" applyAlignment="1">
      <alignment horizontal="center" vertical="center"/>
    </xf>
    <xf numFmtId="1" fontId="3" fillId="7" borderId="0" xfId="0" applyNumberFormat="1" applyFont="1" applyFill="1" applyAlignment="1">
      <alignment horizontal="center" vertical="center"/>
    </xf>
    <xf numFmtId="0" fontId="2" fillId="7" borderId="0" xfId="0" applyFont="1" applyFill="1" applyAlignment="1">
      <alignment vertical="center"/>
    </xf>
    <xf numFmtId="0" fontId="2" fillId="7" borderId="37" xfId="0" applyFont="1" applyFill="1" applyBorder="1" applyAlignment="1">
      <alignment vertical="center"/>
    </xf>
    <xf numFmtId="0" fontId="3" fillId="7" borderId="97" xfId="0" applyFont="1" applyFill="1" applyBorder="1"/>
    <xf numFmtId="0" fontId="0" fillId="0" borderId="98" xfId="0" applyBorder="1"/>
    <xf numFmtId="0" fontId="0" fillId="0" borderId="99" xfId="0" applyBorder="1"/>
    <xf numFmtId="0" fontId="11" fillId="7" borderId="19" xfId="0" applyFont="1" applyFill="1" applyBorder="1" applyAlignment="1">
      <alignment vertical="center"/>
    </xf>
    <xf numFmtId="168" fontId="2" fillId="7" borderId="16" xfId="0" applyNumberFormat="1" applyFont="1" applyFill="1" applyBorder="1" applyAlignment="1" applyProtection="1">
      <alignment vertical="center"/>
      <protection locked="0"/>
    </xf>
    <xf numFmtId="168" fontId="0" fillId="0" borderId="20" xfId="0" applyNumberFormat="1" applyBorder="1" applyAlignment="1">
      <alignment vertical="center"/>
    </xf>
    <xf numFmtId="168" fontId="0" fillId="0" borderId="18" xfId="0" applyNumberFormat="1" applyBorder="1" applyAlignment="1">
      <alignment vertical="center"/>
    </xf>
    <xf numFmtId="0" fontId="11" fillId="7" borderId="19" xfId="0" applyFont="1" applyFill="1" applyBorder="1" applyAlignment="1">
      <alignment horizontal="right" vertical="center"/>
    </xf>
    <xf numFmtId="0" fontId="58" fillId="0" borderId="0" xfId="0" applyFont="1" applyAlignment="1">
      <alignment vertical="center"/>
    </xf>
    <xf numFmtId="0" fontId="58" fillId="0" borderId="37" xfId="0" applyFont="1" applyBorder="1" applyAlignment="1">
      <alignment vertical="center"/>
    </xf>
    <xf numFmtId="0" fontId="11" fillId="7" borderId="135" xfId="0" applyFont="1" applyFill="1" applyBorder="1" applyAlignment="1">
      <alignment horizontal="left" vertical="center" wrapText="1"/>
    </xf>
    <xf numFmtId="0" fontId="11" fillId="7" borderId="135" xfId="0" applyFont="1" applyFill="1" applyBorder="1" applyAlignment="1">
      <alignment horizontal="center" vertical="center"/>
    </xf>
    <xf numFmtId="0" fontId="0" fillId="0" borderId="37" xfId="0" applyBorder="1" applyAlignment="1">
      <alignment horizontal="center" vertical="center"/>
    </xf>
    <xf numFmtId="0" fontId="4" fillId="7" borderId="0" xfId="0" applyFont="1" applyFill="1" applyAlignment="1">
      <alignment horizontal="center" vertical="center"/>
    </xf>
    <xf numFmtId="0" fontId="58" fillId="7" borderId="0" xfId="0" applyFont="1" applyFill="1" applyAlignment="1">
      <alignment horizontal="center" vertical="center"/>
    </xf>
    <xf numFmtId="0" fontId="11" fillId="7" borderId="112" xfId="0" applyFont="1" applyFill="1" applyBorder="1" applyAlignment="1">
      <alignment horizontal="left" vertical="center"/>
    </xf>
    <xf numFmtId="0" fontId="3" fillId="0" borderId="112" xfId="0" applyFont="1" applyBorder="1" applyAlignment="1">
      <alignment horizontal="left"/>
    </xf>
    <xf numFmtId="0" fontId="58" fillId="2" borderId="34" xfId="0" applyFont="1" applyFill="1" applyBorder="1" applyAlignment="1">
      <alignment horizontal="right"/>
    </xf>
    <xf numFmtId="0" fontId="58" fillId="0" borderId="0" xfId="0" applyFont="1" applyAlignment="1">
      <alignment horizontal="right"/>
    </xf>
    <xf numFmtId="0" fontId="11" fillId="16" borderId="107" xfId="0" applyFont="1" applyFill="1" applyBorder="1" applyAlignment="1">
      <alignment horizontal="center" vertical="center"/>
    </xf>
    <xf numFmtId="0" fontId="11" fillId="16" borderId="108" xfId="0" applyFont="1" applyFill="1" applyBorder="1" applyAlignment="1">
      <alignment horizontal="center" vertical="center"/>
    </xf>
    <xf numFmtId="0" fontId="72" fillId="16" borderId="0" xfId="0" applyFont="1" applyFill="1" applyAlignment="1">
      <alignment horizontal="center" vertical="center"/>
    </xf>
    <xf numFmtId="0" fontId="72" fillId="0" borderId="0" xfId="0" applyFont="1" applyAlignment="1">
      <alignment horizontal="center" vertical="center"/>
    </xf>
    <xf numFmtId="0" fontId="4" fillId="16" borderId="0" xfId="0" applyFont="1" applyFill="1" applyAlignment="1">
      <alignment horizontal="center" vertical="center"/>
    </xf>
    <xf numFmtId="0" fontId="4" fillId="0" borderId="0" xfId="0" applyFont="1" applyAlignment="1">
      <alignment horizontal="center" vertical="center"/>
    </xf>
    <xf numFmtId="0" fontId="76" fillId="16" borderId="0" xfId="0" applyFont="1" applyFill="1" applyAlignment="1">
      <alignment wrapText="1"/>
    </xf>
    <xf numFmtId="0" fontId="76" fillId="0" borderId="0" xfId="0" applyFont="1" applyAlignment="1">
      <alignment wrapText="1"/>
    </xf>
    <xf numFmtId="0" fontId="0" fillId="16" borderId="123" xfId="0" applyFill="1" applyBorder="1" applyAlignment="1">
      <alignment horizontal="left" vertical="center"/>
    </xf>
    <xf numFmtId="0" fontId="0" fillId="0" borderId="96" xfId="0" applyBorder="1" applyAlignment="1">
      <alignment horizontal="left" vertical="center"/>
    </xf>
    <xf numFmtId="0" fontId="0" fillId="16" borderId="97" xfId="0" applyFill="1" applyBorder="1" applyAlignment="1">
      <alignment vertical="center"/>
    </xf>
    <xf numFmtId="0" fontId="0" fillId="0" borderId="109" xfId="0" applyBorder="1" applyAlignment="1">
      <alignment vertical="center"/>
    </xf>
    <xf numFmtId="0" fontId="0" fillId="0" borderId="111" xfId="0" applyBorder="1" applyAlignment="1">
      <alignment vertical="center"/>
    </xf>
    <xf numFmtId="0" fontId="76" fillId="16" borderId="112" xfId="0" applyFont="1" applyFill="1" applyBorder="1" applyAlignment="1">
      <alignment horizontal="center"/>
    </xf>
    <xf numFmtId="0" fontId="76" fillId="0" borderId="112" xfId="0" applyFont="1" applyBorder="1" applyAlignment="1">
      <alignment horizontal="center"/>
    </xf>
    <xf numFmtId="1" fontId="0" fillId="16" borderId="123" xfId="0" applyNumberFormat="1" applyFill="1" applyBorder="1" applyAlignment="1">
      <alignment horizontal="center" vertical="center"/>
    </xf>
    <xf numFmtId="0" fontId="76" fillId="16" borderId="112" xfId="0" applyFont="1" applyFill="1" applyBorder="1" applyAlignment="1">
      <alignment wrapText="1"/>
    </xf>
    <xf numFmtId="0" fontId="76" fillId="0" borderId="112" xfId="0" applyFont="1" applyBorder="1" applyAlignment="1">
      <alignment wrapText="1"/>
    </xf>
    <xf numFmtId="0" fontId="2" fillId="16" borderId="97" xfId="0" applyFont="1" applyFill="1" applyBorder="1" applyAlignment="1">
      <alignment vertical="center"/>
    </xf>
    <xf numFmtId="0" fontId="2" fillId="0" borderId="98" xfId="0" applyFont="1" applyBorder="1" applyAlignment="1">
      <alignment vertical="center"/>
    </xf>
    <xf numFmtId="0" fontId="2" fillId="0" borderId="99" xfId="0" applyFont="1" applyBorder="1" applyAlignment="1">
      <alignment vertical="center"/>
    </xf>
    <xf numFmtId="49" fontId="58" fillId="16" borderId="0" xfId="0" applyNumberFormat="1" applyFont="1" applyFill="1" applyAlignment="1">
      <alignment horizontal="center" vertical="center"/>
    </xf>
    <xf numFmtId="49" fontId="0" fillId="0" borderId="0" xfId="0" applyNumberFormat="1" applyAlignment="1">
      <alignment vertical="center"/>
    </xf>
    <xf numFmtId="0" fontId="3" fillId="16" borderId="123" xfId="0" applyFont="1" applyFill="1" applyBorder="1" applyAlignment="1">
      <alignment vertical="center"/>
    </xf>
    <xf numFmtId="0" fontId="0" fillId="0" borderId="96" xfId="0" applyBorder="1" applyAlignment="1">
      <alignment vertical="center"/>
    </xf>
    <xf numFmtId="0" fontId="42" fillId="16" borderId="112" xfId="0" applyFont="1" applyFill="1" applyBorder="1" applyAlignment="1">
      <alignment vertical="center"/>
    </xf>
    <xf numFmtId="0" fontId="42" fillId="0" borderId="112" xfId="0" applyFont="1" applyBorder="1" applyAlignment="1">
      <alignment vertical="center"/>
    </xf>
    <xf numFmtId="0" fontId="0" fillId="16" borderId="123" xfId="0" applyFill="1" applyBorder="1" applyAlignment="1" applyProtection="1">
      <alignment vertical="center"/>
      <protection locked="0"/>
    </xf>
    <xf numFmtId="0" fontId="0" fillId="0" borderId="96" xfId="0" applyBorder="1" applyAlignment="1" applyProtection="1">
      <alignment vertical="center"/>
      <protection locked="0"/>
    </xf>
    <xf numFmtId="14" fontId="0" fillId="16" borderId="123" xfId="0" applyNumberFormat="1" applyFill="1"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16" borderId="123" xfId="0" applyFill="1" applyBorder="1" applyAlignment="1">
      <alignment horizontal="center" vertical="center"/>
    </xf>
    <xf numFmtId="0" fontId="42" fillId="16" borderId="0" xfId="0" applyFont="1" applyFill="1" applyAlignment="1">
      <alignment vertical="center"/>
    </xf>
    <xf numFmtId="0" fontId="0" fillId="16" borderId="94" xfId="0" applyFill="1" applyBorder="1" applyAlignment="1" applyProtection="1">
      <alignment vertical="center"/>
      <protection locked="0"/>
    </xf>
    <xf numFmtId="0" fontId="2" fillId="16" borderId="98" xfId="0" applyFont="1" applyFill="1" applyBorder="1" applyAlignment="1">
      <alignment vertical="center" wrapText="1"/>
    </xf>
    <xf numFmtId="0" fontId="2" fillId="0" borderId="98" xfId="0" applyFont="1" applyBorder="1" applyAlignment="1">
      <alignment vertical="center" wrapText="1"/>
    </xf>
    <xf numFmtId="0" fontId="0" fillId="16" borderId="111" xfId="0" applyFill="1" applyBorder="1" applyAlignment="1">
      <alignment vertical="center"/>
    </xf>
    <xf numFmtId="0" fontId="11" fillId="16" borderId="112" xfId="0" applyFont="1" applyFill="1" applyBorder="1" applyAlignment="1">
      <alignment horizontal="center" vertical="center"/>
    </xf>
    <xf numFmtId="0" fontId="11" fillId="0" borderId="112" xfId="0" applyFont="1" applyBorder="1" applyAlignment="1">
      <alignment horizontal="center" vertical="center"/>
    </xf>
    <xf numFmtId="0" fontId="11" fillId="0" borderId="113" xfId="0" applyFont="1" applyBorder="1" applyAlignment="1">
      <alignment horizontal="center" vertical="center"/>
    </xf>
    <xf numFmtId="14" fontId="0" fillId="16" borderId="81" xfId="0" applyNumberFormat="1" applyFill="1"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16" borderId="0" xfId="0" applyFill="1" applyAlignment="1" applyProtection="1">
      <alignment vertical="center"/>
      <protection locked="0"/>
    </xf>
    <xf numFmtId="0" fontId="0" fillId="0" borderId="0" xfId="0" applyAlignment="1" applyProtection="1">
      <alignment vertical="center"/>
      <protection locked="0"/>
    </xf>
    <xf numFmtId="0" fontId="0" fillId="0" borderId="81" xfId="0" applyBorder="1" applyAlignment="1" applyProtection="1">
      <alignment vertical="center"/>
      <protection locked="0"/>
    </xf>
    <xf numFmtId="0" fontId="42" fillId="16" borderId="82" xfId="0" applyFont="1" applyFill="1" applyBorder="1" applyAlignment="1">
      <alignment horizontal="center" vertical="center"/>
    </xf>
    <xf numFmtId="0" fontId="0" fillId="0" borderId="82" xfId="0" applyBorder="1" applyAlignment="1">
      <alignment horizontal="center" vertical="center"/>
    </xf>
    <xf numFmtId="0" fontId="0" fillId="16" borderId="109" xfId="0" applyFill="1" applyBorder="1" applyAlignment="1">
      <alignment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14" fontId="2" fillId="0" borderId="94" xfId="0" applyNumberFormat="1" applyFont="1" applyBorder="1" applyAlignment="1" applyProtection="1">
      <alignment horizontal="center" vertical="center"/>
      <protection locked="0"/>
    </xf>
    <xf numFmtId="0" fontId="2" fillId="0" borderId="95" xfId="0" applyFont="1" applyBorder="1" applyAlignment="1" applyProtection="1">
      <alignment horizontal="center" vertical="center"/>
      <protection locked="0"/>
    </xf>
    <xf numFmtId="0" fontId="83" fillId="16" borderId="0" xfId="0" applyFont="1" applyFill="1" applyAlignment="1">
      <alignment horizontal="center" vertical="center"/>
    </xf>
    <xf numFmtId="0" fontId="83" fillId="0" borderId="0" xfId="0" applyFont="1" applyAlignment="1">
      <alignment horizontal="center" vertical="center"/>
    </xf>
    <xf numFmtId="0" fontId="42" fillId="0" borderId="109" xfId="0" applyFont="1" applyBorder="1" applyAlignment="1">
      <alignment horizontal="left" vertical="center"/>
    </xf>
    <xf numFmtId="0" fontId="42" fillId="0" borderId="109" xfId="0" applyFont="1" applyBorder="1" applyAlignment="1">
      <alignment vertical="center"/>
    </xf>
    <xf numFmtId="0" fontId="42" fillId="16" borderId="0" xfId="11" applyFont="1" applyFill="1" applyAlignment="1">
      <alignment horizontal="center"/>
    </xf>
    <xf numFmtId="0" fontId="11" fillId="16" borderId="0" xfId="11" applyFont="1" applyFill="1" applyAlignment="1">
      <alignment horizontal="left" wrapText="1"/>
    </xf>
    <xf numFmtId="0" fontId="11" fillId="16" borderId="0" xfId="11" applyFont="1" applyFill="1" applyAlignment="1">
      <alignment horizontal="center"/>
    </xf>
    <xf numFmtId="0" fontId="42" fillId="16" borderId="0" xfId="11" applyFont="1" applyFill="1" applyAlignment="1">
      <alignment horizontal="left" vertical="center"/>
    </xf>
    <xf numFmtId="49" fontId="2" fillId="16" borderId="81" xfId="11" applyNumberFormat="1" applyFont="1" applyFill="1" applyBorder="1" applyAlignment="1" applyProtection="1">
      <alignment horizontal="center" vertical="center"/>
      <protection locked="0"/>
    </xf>
    <xf numFmtId="167" fontId="2" fillId="16" borderId="81" xfId="11" applyNumberFormat="1" applyFont="1" applyFill="1" applyBorder="1" applyAlignment="1" applyProtection="1">
      <alignment horizontal="center" vertical="center"/>
      <protection locked="0"/>
    </xf>
    <xf numFmtId="0" fontId="11" fillId="16" borderId="82" xfId="11" applyFont="1" applyFill="1" applyBorder="1" applyAlignment="1">
      <alignment horizontal="center"/>
    </xf>
    <xf numFmtId="4" fontId="2" fillId="16" borderId="81" xfId="11" applyNumberFormat="1" applyFont="1" applyFill="1" applyBorder="1" applyAlignment="1" applyProtection="1">
      <alignment horizontal="center" vertical="center"/>
      <protection locked="0"/>
    </xf>
    <xf numFmtId="4" fontId="42" fillId="16" borderId="0" xfId="11" applyNumberFormat="1" applyFont="1" applyFill="1" applyAlignment="1">
      <alignment horizontal="center" vertical="center"/>
    </xf>
    <xf numFmtId="3" fontId="42" fillId="16" borderId="0" xfId="11" applyNumberFormat="1" applyFont="1" applyFill="1" applyAlignment="1">
      <alignment horizontal="center"/>
    </xf>
    <xf numFmtId="14" fontId="76" fillId="16" borderId="81" xfId="11" applyNumberFormat="1" applyFont="1" applyFill="1" applyBorder="1" applyAlignment="1" applyProtection="1">
      <alignment horizontal="center" vertical="center"/>
      <protection locked="0"/>
    </xf>
    <xf numFmtId="0" fontId="76" fillId="16" borderId="81" xfId="11" applyFont="1" applyFill="1" applyBorder="1" applyAlignment="1">
      <alignment horizontal="center" vertical="center"/>
    </xf>
    <xf numFmtId="0" fontId="42" fillId="16" borderId="0" xfId="11" applyFont="1" applyFill="1" applyAlignment="1" applyProtection="1">
      <alignment horizontal="left" vertical="center"/>
      <protection locked="0"/>
    </xf>
    <xf numFmtId="0" fontId="42" fillId="16" borderId="0" xfId="11" applyFont="1" applyFill="1" applyAlignment="1">
      <alignment horizontal="center" vertical="center"/>
    </xf>
    <xf numFmtId="0" fontId="2" fillId="16" borderId="81" xfId="11" applyFont="1" applyFill="1" applyBorder="1" applyAlignment="1">
      <alignment horizontal="center" vertical="center"/>
    </xf>
    <xf numFmtId="0" fontId="3" fillId="0" borderId="81" xfId="10" applyBorder="1" applyAlignment="1">
      <alignment vertical="center"/>
    </xf>
    <xf numFmtId="0" fontId="2" fillId="16" borderId="94" xfId="11" applyFont="1" applyFill="1" applyBorder="1" applyAlignment="1">
      <alignment horizontal="center" vertical="center"/>
    </xf>
    <xf numFmtId="0" fontId="2" fillId="16" borderId="96" xfId="11" applyFont="1" applyFill="1" applyBorder="1" applyAlignment="1">
      <alignment horizontal="center" vertical="center"/>
    </xf>
    <xf numFmtId="0" fontId="3" fillId="0" borderId="82" xfId="10" applyBorder="1" applyAlignment="1">
      <alignment horizontal="center"/>
    </xf>
    <xf numFmtId="0" fontId="3" fillId="0" borderId="0" xfId="10" applyAlignment="1">
      <alignment horizontal="center"/>
    </xf>
    <xf numFmtId="0" fontId="2" fillId="16" borderId="81" xfId="11" applyFont="1" applyFill="1" applyBorder="1" applyAlignment="1" applyProtection="1">
      <alignment horizontal="center" vertical="center"/>
      <protection locked="0"/>
    </xf>
    <xf numFmtId="1" fontId="72" fillId="16" borderId="81" xfId="11" applyNumberFormat="1" applyFont="1" applyFill="1" applyBorder="1" applyAlignment="1">
      <alignment horizontal="center" vertical="center"/>
    </xf>
    <xf numFmtId="0" fontId="112" fillId="16" borderId="0" xfId="11" applyFont="1" applyFill="1" applyAlignment="1">
      <alignment horizontal="center" vertical="top"/>
    </xf>
    <xf numFmtId="0" fontId="73" fillId="16" borderId="81" xfId="11" applyFont="1" applyFill="1" applyBorder="1" applyAlignment="1" applyProtection="1">
      <alignment horizontal="left" vertical="center"/>
      <protection locked="0"/>
    </xf>
    <xf numFmtId="0" fontId="73" fillId="0" borderId="81" xfId="10" applyFont="1" applyBorder="1" applyAlignment="1" applyProtection="1">
      <alignment horizontal="left" vertical="center"/>
      <protection locked="0"/>
    </xf>
    <xf numFmtId="0" fontId="11" fillId="16" borderId="0" xfId="11" applyFont="1" applyFill="1" applyAlignment="1">
      <alignment horizontal="center" vertical="top"/>
    </xf>
    <xf numFmtId="0" fontId="73" fillId="16" borderId="81" xfId="11" applyFont="1" applyFill="1" applyBorder="1" applyAlignment="1" applyProtection="1">
      <alignment vertical="center"/>
      <protection locked="0"/>
    </xf>
    <xf numFmtId="0" fontId="73" fillId="0" borderId="81" xfId="10" applyFont="1" applyBorder="1" applyAlignment="1" applyProtection="1">
      <alignment vertical="center"/>
      <protection locked="0"/>
    </xf>
    <xf numFmtId="0" fontId="42" fillId="16" borderId="110" xfId="11" applyFont="1" applyFill="1" applyBorder="1" applyAlignment="1">
      <alignment horizontal="center"/>
    </xf>
    <xf numFmtId="49" fontId="2" fillId="16" borderId="94" xfId="11" applyNumberFormat="1" applyFont="1" applyFill="1" applyBorder="1" applyAlignment="1" applyProtection="1">
      <alignment horizontal="center" vertical="center"/>
      <protection locked="0"/>
    </xf>
    <xf numFmtId="49" fontId="2" fillId="16" borderId="96" xfId="11" applyNumberFormat="1" applyFont="1" applyFill="1" applyBorder="1" applyAlignment="1" applyProtection="1">
      <alignment horizontal="center" vertical="center"/>
      <protection locked="0"/>
    </xf>
    <xf numFmtId="0" fontId="140" fillId="7" borderId="0" xfId="10" applyFont="1" applyFill="1" applyAlignment="1">
      <alignment horizontal="center" vertical="center"/>
    </xf>
    <xf numFmtId="0" fontId="144" fillId="2" borderId="0" xfId="10" applyFont="1" applyFill="1" applyAlignment="1">
      <alignment vertical="top" wrapText="1"/>
    </xf>
    <xf numFmtId="0" fontId="3" fillId="0" borderId="0" xfId="10" applyAlignment="1">
      <alignment vertical="top"/>
    </xf>
    <xf numFmtId="0" fontId="144" fillId="7" borderId="0" xfId="10" applyFont="1" applyFill="1" applyAlignment="1">
      <alignment horizontal="right" vertical="center"/>
    </xf>
    <xf numFmtId="0" fontId="3" fillId="0" borderId="162" xfId="10" applyBorder="1"/>
    <xf numFmtId="0" fontId="144" fillId="0" borderId="161" xfId="10" applyFont="1" applyBorder="1" applyAlignment="1">
      <alignment horizontal="right"/>
    </xf>
    <xf numFmtId="0" fontId="144" fillId="0" borderId="0" xfId="10" applyFont="1" applyAlignment="1">
      <alignment horizontal="right"/>
    </xf>
    <xf numFmtId="0" fontId="144" fillId="0" borderId="162" xfId="10" applyFont="1" applyBorder="1" applyAlignment="1">
      <alignment horizontal="right"/>
    </xf>
    <xf numFmtId="0" fontId="143" fillId="0" borderId="0" xfId="10" applyFont="1" applyAlignment="1">
      <alignment horizontal="center" vertical="center"/>
    </xf>
    <xf numFmtId="0" fontId="145" fillId="7" borderId="0" xfId="10" applyFont="1" applyFill="1" applyAlignment="1">
      <alignment horizontal="center" vertical="center"/>
    </xf>
    <xf numFmtId="0" fontId="134" fillId="7" borderId="158" xfId="10" applyFont="1" applyFill="1" applyBorder="1" applyAlignment="1">
      <alignment horizontal="center" vertical="center"/>
    </xf>
    <xf numFmtId="0" fontId="134" fillId="0" borderId="159" xfId="10" applyFont="1" applyBorder="1" applyAlignment="1">
      <alignment horizontal="center" vertical="center"/>
    </xf>
    <xf numFmtId="0" fontId="134" fillId="0" borderId="160" xfId="10" applyFont="1" applyBorder="1" applyAlignment="1">
      <alignment horizontal="center" vertical="center"/>
    </xf>
    <xf numFmtId="0" fontId="136" fillId="7" borderId="158" xfId="10" applyFont="1" applyFill="1" applyBorder="1" applyAlignment="1">
      <alignment horizontal="center"/>
    </xf>
    <xf numFmtId="0" fontId="137" fillId="0" borderId="159" xfId="10" applyFont="1" applyBorder="1"/>
    <xf numFmtId="0" fontId="137" fillId="0" borderId="160" xfId="10" applyFont="1" applyBorder="1"/>
    <xf numFmtId="0" fontId="137" fillId="0" borderId="161" xfId="10" applyFont="1" applyBorder="1"/>
    <xf numFmtId="0" fontId="137" fillId="0" borderId="0" xfId="10" applyFont="1"/>
    <xf numFmtId="0" fontId="137" fillId="0" borderId="162" xfId="10" applyFont="1" applyBorder="1"/>
    <xf numFmtId="0" fontId="137" fillId="0" borderId="164" xfId="10" applyFont="1" applyBorder="1"/>
    <xf numFmtId="0" fontId="137" fillId="0" borderId="165" xfId="10" applyFont="1" applyBorder="1"/>
    <xf numFmtId="0" fontId="137" fillId="0" borderId="166" xfId="10" applyFont="1" applyBorder="1"/>
    <xf numFmtId="0" fontId="100" fillId="21" borderId="0" xfId="10" applyFont="1" applyFill="1" applyAlignment="1">
      <alignment horizontal="center" vertical="center"/>
    </xf>
    <xf numFmtId="0" fontId="100" fillId="16" borderId="0" xfId="10" applyFont="1" applyFill="1" applyAlignment="1">
      <alignment horizontal="center" vertical="center"/>
    </xf>
    <xf numFmtId="0" fontId="134" fillId="7" borderId="161" xfId="10" applyFont="1" applyFill="1" applyBorder="1" applyAlignment="1">
      <alignment horizontal="center"/>
    </xf>
    <xf numFmtId="0" fontId="134" fillId="0" borderId="0" xfId="10" applyFont="1" applyAlignment="1">
      <alignment horizontal="center"/>
    </xf>
    <xf numFmtId="0" fontId="134" fillId="0" borderId="162" xfId="10" applyFont="1" applyBorder="1" applyAlignment="1">
      <alignment horizontal="center"/>
    </xf>
    <xf numFmtId="0" fontId="138" fillId="7" borderId="161" xfId="10" applyFont="1" applyFill="1" applyBorder="1" applyAlignment="1">
      <alignment horizontal="center" vertical="center"/>
    </xf>
    <xf numFmtId="0" fontId="138" fillId="0" borderId="0" xfId="10" applyFont="1" applyAlignment="1">
      <alignment horizontal="center" vertical="center"/>
    </xf>
    <xf numFmtId="0" fontId="138" fillId="0" borderId="162" xfId="10" applyFont="1" applyBorder="1" applyAlignment="1">
      <alignment horizontal="center" vertical="center"/>
    </xf>
    <xf numFmtId="0" fontId="141" fillId="0" borderId="0" xfId="10" applyFont="1"/>
    <xf numFmtId="0" fontId="3" fillId="0" borderId="0" xfId="10" applyAlignment="1">
      <alignment horizontal="left"/>
    </xf>
    <xf numFmtId="0" fontId="134" fillId="0" borderId="164" xfId="10" applyFont="1" applyBorder="1" applyAlignment="1">
      <alignment horizontal="center" vertical="center"/>
    </xf>
    <xf numFmtId="0" fontId="134" fillId="0" borderId="165" xfId="10" applyFont="1" applyBorder="1" applyAlignment="1">
      <alignment horizontal="center" vertical="center"/>
    </xf>
    <xf numFmtId="0" fontId="134" fillId="0" borderId="166" xfId="10" applyFont="1" applyBorder="1" applyAlignment="1">
      <alignment horizontal="center" vertical="center"/>
    </xf>
    <xf numFmtId="0" fontId="142" fillId="2" borderId="0" xfId="10" applyFont="1" applyFill="1" applyAlignment="1">
      <alignment vertical="center" wrapText="1"/>
    </xf>
    <xf numFmtId="0" fontId="3" fillId="7" borderId="0" xfId="10" applyFill="1"/>
    <xf numFmtId="0" fontId="144" fillId="30" borderId="161" xfId="10" applyFont="1" applyFill="1" applyBorder="1" applyAlignment="1">
      <alignment vertical="center"/>
    </xf>
    <xf numFmtId="0" fontId="144" fillId="30" borderId="0" xfId="10" applyFont="1" applyFill="1" applyAlignment="1">
      <alignment vertical="center"/>
    </xf>
    <xf numFmtId="0" fontId="144" fillId="30" borderId="169" xfId="10" applyFont="1" applyFill="1" applyBorder="1" applyAlignment="1">
      <alignment vertical="center"/>
    </xf>
    <xf numFmtId="0" fontId="3" fillId="0" borderId="169" xfId="10" applyBorder="1" applyAlignment="1">
      <alignment vertical="center"/>
    </xf>
    <xf numFmtId="0" fontId="144" fillId="32" borderId="0" xfId="10" applyFont="1" applyFill="1" applyAlignment="1">
      <alignment horizontal="center" vertical="center"/>
    </xf>
    <xf numFmtId="0" fontId="137" fillId="32" borderId="0" xfId="10" applyFont="1" applyFill="1" applyAlignment="1">
      <alignment horizontal="center" vertical="center"/>
    </xf>
    <xf numFmtId="0" fontId="137" fillId="32" borderId="162" xfId="10" applyFont="1" applyFill="1" applyBorder="1" applyAlignment="1">
      <alignment horizontal="center" vertical="center"/>
    </xf>
    <xf numFmtId="0" fontId="147" fillId="0" borderId="168" xfId="10" applyFont="1" applyBorder="1" applyAlignment="1">
      <alignment vertical="center"/>
    </xf>
    <xf numFmtId="0" fontId="3" fillId="0" borderId="170" xfId="10" applyBorder="1" applyAlignment="1">
      <alignment vertical="center"/>
    </xf>
    <xf numFmtId="3" fontId="148" fillId="7" borderId="168" xfId="10" applyNumberFormat="1" applyFont="1" applyFill="1" applyBorder="1" applyAlignment="1">
      <alignment horizontal="center" vertical="center"/>
    </xf>
    <xf numFmtId="3" fontId="148" fillId="7" borderId="169" xfId="10" applyNumberFormat="1" applyFont="1" applyFill="1" applyBorder="1" applyAlignment="1">
      <alignment horizontal="center" vertical="center"/>
    </xf>
    <xf numFmtId="0" fontId="148" fillId="0" borderId="169" xfId="10" applyFont="1" applyBorder="1" applyAlignment="1">
      <alignment horizontal="center" vertical="center"/>
    </xf>
    <xf numFmtId="0" fontId="148" fillId="0" borderId="170" xfId="10" applyFont="1" applyBorder="1" applyAlignment="1">
      <alignment horizontal="center" vertical="center"/>
    </xf>
    <xf numFmtId="0" fontId="146" fillId="29" borderId="168" xfId="10" applyFont="1" applyFill="1" applyBorder="1" applyAlignment="1">
      <alignment vertical="center"/>
    </xf>
    <xf numFmtId="0" fontId="146" fillId="29" borderId="169" xfId="10" applyFont="1" applyFill="1" applyBorder="1" applyAlignment="1">
      <alignment vertical="center"/>
    </xf>
    <xf numFmtId="0" fontId="146" fillId="29" borderId="170" xfId="10" applyFont="1" applyFill="1" applyBorder="1" applyAlignment="1">
      <alignment vertical="center"/>
    </xf>
    <xf numFmtId="0" fontId="144" fillId="30" borderId="168" xfId="10" applyFont="1" applyFill="1" applyBorder="1" applyAlignment="1">
      <alignment vertical="center"/>
    </xf>
    <xf numFmtId="0" fontId="144" fillId="30" borderId="162" xfId="10" applyFont="1" applyFill="1" applyBorder="1" applyAlignment="1">
      <alignment vertical="center"/>
    </xf>
    <xf numFmtId="0" fontId="147" fillId="0" borderId="168" xfId="10" applyFont="1" applyBorder="1" applyAlignment="1" applyProtection="1">
      <alignment vertical="center"/>
      <protection locked="0"/>
    </xf>
    <xf numFmtId="0" fontId="147" fillId="0" borderId="169" xfId="10" applyFont="1" applyBorder="1" applyAlignment="1" applyProtection="1">
      <alignment vertical="center"/>
      <protection locked="0"/>
    </xf>
    <xf numFmtId="0" fontId="147" fillId="0" borderId="170" xfId="10" applyFont="1" applyBorder="1" applyAlignment="1" applyProtection="1">
      <alignment vertical="center"/>
      <protection locked="0"/>
    </xf>
    <xf numFmtId="0" fontId="144" fillId="31" borderId="161" xfId="10" applyFont="1" applyFill="1" applyBorder="1" applyAlignment="1">
      <alignment vertical="center"/>
    </xf>
    <xf numFmtId="0" fontId="144" fillId="30" borderId="169" xfId="10" applyFont="1" applyFill="1" applyBorder="1" applyAlignment="1">
      <alignment horizontal="center" vertical="center"/>
    </xf>
    <xf numFmtId="0" fontId="144" fillId="30" borderId="170" xfId="10" applyFont="1" applyFill="1" applyBorder="1" applyAlignment="1">
      <alignment horizontal="center" vertical="center"/>
    </xf>
    <xf numFmtId="0" fontId="147" fillId="7" borderId="168" xfId="10" applyFont="1" applyFill="1" applyBorder="1" applyAlignment="1" applyProtection="1">
      <alignment horizontal="left" vertical="center"/>
      <protection locked="0"/>
    </xf>
    <xf numFmtId="0" fontId="3" fillId="0" borderId="169" xfId="10" applyBorder="1" applyAlignment="1">
      <alignment horizontal="left" vertical="center"/>
    </xf>
    <xf numFmtId="0" fontId="3" fillId="0" borderId="170" xfId="10" applyBorder="1" applyAlignment="1">
      <alignment horizontal="left" vertical="center"/>
    </xf>
    <xf numFmtId="0" fontId="147" fillId="30" borderId="161" xfId="10" applyFont="1" applyFill="1" applyBorder="1" applyAlignment="1">
      <alignment horizontal="left" vertical="center"/>
    </xf>
    <xf numFmtId="0" fontId="3" fillId="30" borderId="0" xfId="10" applyFill="1" applyAlignment="1">
      <alignment vertical="center"/>
    </xf>
    <xf numFmtId="0" fontId="3" fillId="30" borderId="162" xfId="10" applyFill="1" applyBorder="1" applyAlignment="1">
      <alignment vertical="center"/>
    </xf>
    <xf numFmtId="0" fontId="144" fillId="31" borderId="0" xfId="10" applyFont="1" applyFill="1" applyAlignment="1">
      <alignment vertical="center"/>
    </xf>
    <xf numFmtId="0" fontId="144" fillId="31" borderId="162" xfId="10" applyFont="1" applyFill="1" applyBorder="1" applyAlignment="1">
      <alignment vertical="center"/>
    </xf>
    <xf numFmtId="0" fontId="144" fillId="31" borderId="168" xfId="10" applyFont="1" applyFill="1" applyBorder="1" applyAlignment="1">
      <alignment vertical="center"/>
    </xf>
    <xf numFmtId="0" fontId="144" fillId="31" borderId="165" xfId="10" applyFont="1" applyFill="1" applyBorder="1" applyAlignment="1">
      <alignment vertical="center"/>
    </xf>
    <xf numFmtId="0" fontId="3" fillId="0" borderId="165" xfId="10" applyBorder="1" applyAlignment="1">
      <alignment vertical="center"/>
    </xf>
    <xf numFmtId="0" fontId="144" fillId="31" borderId="169" xfId="10" applyFont="1" applyFill="1" applyBorder="1" applyAlignment="1">
      <alignment horizontal="center" vertical="center"/>
    </xf>
    <xf numFmtId="0" fontId="3" fillId="0" borderId="169" xfId="10" applyBorder="1" applyAlignment="1">
      <alignment horizontal="center" vertical="center"/>
    </xf>
    <xf numFmtId="0" fontId="3" fillId="0" borderId="170" xfId="10" applyBorder="1" applyAlignment="1">
      <alignment horizontal="center" vertical="center"/>
    </xf>
    <xf numFmtId="0" fontId="147" fillId="7" borderId="168" xfId="10" applyFont="1" applyFill="1" applyBorder="1" applyAlignment="1">
      <alignment horizontal="center" vertical="center"/>
    </xf>
    <xf numFmtId="0" fontId="147" fillId="0" borderId="168" xfId="10" applyFont="1" applyBorder="1" applyAlignment="1">
      <alignment horizontal="left" vertical="center"/>
    </xf>
    <xf numFmtId="0" fontId="147" fillId="0" borderId="169" xfId="10" applyFont="1" applyBorder="1" applyAlignment="1">
      <alignment vertical="center"/>
    </xf>
    <xf numFmtId="0" fontId="147" fillId="0" borderId="170" xfId="10" applyFont="1" applyBorder="1" applyAlignment="1">
      <alignment vertical="center"/>
    </xf>
    <xf numFmtId="0" fontId="147" fillId="7" borderId="168" xfId="10" applyFont="1" applyFill="1" applyBorder="1" applyAlignment="1" applyProtection="1">
      <alignment vertical="center"/>
      <protection locked="0"/>
    </xf>
    <xf numFmtId="0" fontId="147" fillId="7" borderId="169" xfId="10" applyFont="1" applyFill="1" applyBorder="1" applyAlignment="1" applyProtection="1">
      <alignment vertical="center"/>
      <protection locked="0"/>
    </xf>
    <xf numFmtId="0" fontId="3" fillId="31" borderId="161" xfId="10" applyFill="1" applyBorder="1"/>
    <xf numFmtId="0" fontId="3" fillId="31" borderId="0" xfId="10" applyFill="1"/>
    <xf numFmtId="0" fontId="3" fillId="31" borderId="162" xfId="10" applyFill="1" applyBorder="1"/>
    <xf numFmtId="0" fontId="149" fillId="33" borderId="169" xfId="10" applyFont="1" applyFill="1" applyBorder="1" applyAlignment="1">
      <alignment vertical="center"/>
    </xf>
    <xf numFmtId="0" fontId="149" fillId="33" borderId="170" xfId="10" applyFont="1" applyFill="1" applyBorder="1" applyAlignment="1">
      <alignment vertical="center"/>
    </xf>
    <xf numFmtId="0" fontId="140" fillId="31" borderId="159" xfId="10" applyFont="1" applyFill="1" applyBorder="1" applyAlignment="1">
      <alignment vertical="center"/>
    </xf>
    <xf numFmtId="0" fontId="3" fillId="0" borderId="159" xfId="10" applyBorder="1" applyAlignment="1">
      <alignment vertical="center"/>
    </xf>
    <xf numFmtId="0" fontId="3" fillId="0" borderId="160" xfId="10" applyBorder="1" applyAlignment="1">
      <alignment vertical="center"/>
    </xf>
    <xf numFmtId="0" fontId="150" fillId="30" borderId="158" xfId="10" applyFont="1" applyFill="1" applyBorder="1" applyAlignment="1">
      <alignment vertical="center"/>
    </xf>
    <xf numFmtId="0" fontId="3" fillId="0" borderId="159" xfId="10" applyBorder="1"/>
    <xf numFmtId="0" fontId="3" fillId="0" borderId="160" xfId="10" applyBorder="1"/>
    <xf numFmtId="49" fontId="144" fillId="31" borderId="0" xfId="10" applyNumberFormat="1" applyFont="1" applyFill="1" applyAlignment="1">
      <alignment horizontal="right"/>
    </xf>
    <xf numFmtId="0" fontId="144" fillId="30" borderId="0" xfId="10" applyFont="1" applyFill="1" applyAlignment="1">
      <alignment horizontal="right"/>
    </xf>
    <xf numFmtId="0" fontId="143" fillId="31" borderId="0" xfId="10" applyFont="1" applyFill="1"/>
    <xf numFmtId="0" fontId="3" fillId="30" borderId="161" xfId="10" applyFill="1" applyBorder="1"/>
    <xf numFmtId="0" fontId="150" fillId="30" borderId="161" xfId="10" applyFont="1" applyFill="1" applyBorder="1" applyAlignment="1">
      <alignment vertical="center"/>
    </xf>
    <xf numFmtId="0" fontId="140" fillId="31" borderId="0" xfId="10" applyFont="1" applyFill="1" applyAlignment="1">
      <alignment horizontal="right"/>
    </xf>
    <xf numFmtId="0" fontId="143" fillId="30" borderId="0" xfId="10" applyFont="1" applyFill="1" applyAlignment="1">
      <alignment horizontal="right"/>
    </xf>
    <xf numFmtId="0" fontId="57" fillId="35" borderId="161" xfId="10" applyFont="1" applyFill="1" applyBorder="1" applyAlignment="1">
      <alignment horizontal="center" vertical="center"/>
    </xf>
    <xf numFmtId="0" fontId="3" fillId="30" borderId="0" xfId="10" applyFill="1"/>
    <xf numFmtId="0" fontId="3" fillId="30" borderId="162" xfId="10" applyFill="1" applyBorder="1"/>
    <xf numFmtId="0" fontId="140" fillId="31" borderId="0" xfId="10" applyFont="1" applyFill="1" applyAlignment="1">
      <alignment vertical="center"/>
    </xf>
    <xf numFmtId="0" fontId="3" fillId="0" borderId="162" xfId="10" applyBorder="1" applyAlignment="1">
      <alignment vertical="center"/>
    </xf>
    <xf numFmtId="0" fontId="137" fillId="31" borderId="0" xfId="10" applyFont="1" applyFill="1" applyAlignment="1">
      <alignment horizontal="left"/>
    </xf>
    <xf numFmtId="0" fontId="137" fillId="31" borderId="0" xfId="10" applyFont="1" applyFill="1"/>
    <xf numFmtId="0" fontId="141" fillId="31" borderId="0" xfId="10" applyFont="1" applyFill="1" applyAlignment="1">
      <alignment wrapText="1"/>
    </xf>
    <xf numFmtId="0" fontId="3" fillId="0" borderId="0" xfId="10" applyAlignment="1">
      <alignment wrapText="1"/>
    </xf>
    <xf numFmtId="0" fontId="141" fillId="30" borderId="0" xfId="10" applyFont="1" applyFill="1" applyAlignment="1">
      <alignment wrapText="1"/>
    </xf>
    <xf numFmtId="0" fontId="141" fillId="30" borderId="0" xfId="10" applyFont="1" applyFill="1"/>
    <xf numFmtId="0" fontId="3" fillId="0" borderId="161" xfId="10" applyBorder="1"/>
    <xf numFmtId="0" fontId="3" fillId="0" borderId="164" xfId="10" applyBorder="1"/>
    <xf numFmtId="0" fontId="3" fillId="0" borderId="165" xfId="10" applyBorder="1"/>
    <xf numFmtId="0" fontId="3" fillId="0" borderId="166" xfId="10" applyBorder="1"/>
    <xf numFmtId="0" fontId="3" fillId="0" borderId="168" xfId="10" applyBorder="1" applyAlignment="1" applyProtection="1">
      <alignment wrapText="1"/>
      <protection locked="0"/>
    </xf>
    <xf numFmtId="0" fontId="3" fillId="0" borderId="169" xfId="10" applyBorder="1"/>
    <xf numFmtId="0" fontId="3" fillId="0" borderId="170" xfId="10" applyBorder="1"/>
    <xf numFmtId="0" fontId="3" fillId="16" borderId="168" xfId="10" applyFill="1" applyBorder="1" applyProtection="1">
      <protection locked="0"/>
    </xf>
    <xf numFmtId="0" fontId="3" fillId="16" borderId="169" xfId="10" applyFill="1" applyBorder="1" applyProtection="1">
      <protection locked="0"/>
    </xf>
    <xf numFmtId="0" fontId="3" fillId="16" borderId="170" xfId="10" applyFill="1" applyBorder="1" applyProtection="1">
      <protection locked="0"/>
    </xf>
    <xf numFmtId="0" fontId="3" fillId="31" borderId="164" xfId="10" applyFill="1" applyBorder="1"/>
    <xf numFmtId="0" fontId="3" fillId="31" borderId="165" xfId="10" applyFill="1" applyBorder="1"/>
    <xf numFmtId="0" fontId="152" fillId="31" borderId="0" xfId="10" applyFont="1" applyFill="1" applyAlignment="1">
      <alignment vertical="center"/>
    </xf>
    <xf numFmtId="0" fontId="152" fillId="0" borderId="0" xfId="10" applyFont="1" applyAlignment="1">
      <alignment vertical="center"/>
    </xf>
    <xf numFmtId="0" fontId="152" fillId="0" borderId="162" xfId="10" applyFont="1" applyBorder="1" applyAlignment="1">
      <alignment vertical="center"/>
    </xf>
    <xf numFmtId="3" fontId="147" fillId="0" borderId="168" xfId="10" applyNumberFormat="1" applyFont="1" applyBorder="1" applyAlignment="1" applyProtection="1">
      <alignment vertical="center"/>
      <protection locked="0"/>
    </xf>
    <xf numFmtId="3" fontId="147" fillId="0" borderId="169" xfId="10" applyNumberFormat="1" applyFont="1" applyBorder="1" applyAlignment="1" applyProtection="1">
      <alignment vertical="center"/>
      <protection locked="0"/>
    </xf>
    <xf numFmtId="3" fontId="147" fillId="0" borderId="170" xfId="10" applyNumberFormat="1" applyFont="1" applyBorder="1" applyAlignment="1" applyProtection="1">
      <alignment vertical="center"/>
      <protection locked="0"/>
    </xf>
    <xf numFmtId="0" fontId="100" fillId="30" borderId="161" xfId="10" applyFont="1" applyFill="1" applyBorder="1" applyAlignment="1">
      <alignment vertical="center"/>
    </xf>
    <xf numFmtId="0" fontId="100" fillId="30" borderId="0" xfId="10" applyFont="1" applyFill="1" applyAlignment="1">
      <alignment vertical="center"/>
    </xf>
    <xf numFmtId="0" fontId="100" fillId="30" borderId="162" xfId="10" applyFont="1" applyFill="1" applyBorder="1" applyAlignment="1">
      <alignment vertical="center"/>
    </xf>
    <xf numFmtId="0" fontId="144" fillId="30" borderId="0" xfId="10" applyFont="1" applyFill="1" applyAlignment="1">
      <alignment horizontal="right" vertical="center"/>
    </xf>
    <xf numFmtId="0" fontId="2" fillId="0" borderId="0" xfId="10" applyFont="1" applyAlignment="1">
      <alignment horizontal="right" vertical="center"/>
    </xf>
    <xf numFmtId="0" fontId="2" fillId="0" borderId="162" xfId="10" applyFont="1" applyBorder="1" applyAlignment="1">
      <alignment horizontal="right" vertical="center"/>
    </xf>
    <xf numFmtId="0" fontId="137" fillId="30" borderId="0" xfId="10" applyFont="1" applyFill="1" applyAlignment="1">
      <alignment horizontal="right" vertical="center"/>
    </xf>
    <xf numFmtId="0" fontId="3" fillId="0" borderId="0" xfId="10" applyAlignment="1">
      <alignment horizontal="right"/>
    </xf>
    <xf numFmtId="0" fontId="144" fillId="31" borderId="0" xfId="10" applyFont="1" applyFill="1" applyAlignment="1">
      <alignment horizontal="center"/>
    </xf>
    <xf numFmtId="0" fontId="3" fillId="0" borderId="162" xfId="10" applyBorder="1" applyAlignment="1">
      <alignment horizontal="center"/>
    </xf>
    <xf numFmtId="0" fontId="146" fillId="33" borderId="169" xfId="10" applyFont="1" applyFill="1" applyBorder="1" applyAlignment="1">
      <alignment vertical="center"/>
    </xf>
    <xf numFmtId="0" fontId="2" fillId="0" borderId="169" xfId="10" applyFont="1" applyBorder="1" applyAlignment="1">
      <alignment vertical="center"/>
    </xf>
    <xf numFmtId="0" fontId="2" fillId="0" borderId="170" xfId="10" applyFont="1" applyBorder="1" applyAlignment="1">
      <alignment vertical="center"/>
    </xf>
    <xf numFmtId="0" fontId="2" fillId="31" borderId="0" xfId="10" applyFont="1" applyFill="1"/>
    <xf numFmtId="0" fontId="144" fillId="31" borderId="0" xfId="10" applyFont="1" applyFill="1"/>
    <xf numFmtId="0" fontId="3" fillId="30" borderId="158" xfId="10" applyFill="1" applyBorder="1"/>
    <xf numFmtId="0" fontId="3" fillId="30" borderId="159" xfId="10" applyFill="1" applyBorder="1"/>
    <xf numFmtId="0" fontId="144" fillId="31" borderId="159" xfId="10" applyFont="1" applyFill="1" applyBorder="1" applyAlignment="1">
      <alignment horizontal="center"/>
    </xf>
    <xf numFmtId="0" fontId="3" fillId="0" borderId="159" xfId="10" applyBorder="1" applyAlignment="1">
      <alignment horizontal="center"/>
    </xf>
    <xf numFmtId="0" fontId="3" fillId="0" borderId="160" xfId="10" applyBorder="1" applyAlignment="1">
      <alignment horizontal="center"/>
    </xf>
    <xf numFmtId="4" fontId="147" fillId="16" borderId="168" xfId="10" applyNumberFormat="1" applyFont="1" applyFill="1" applyBorder="1" applyAlignment="1">
      <alignment vertical="center"/>
    </xf>
    <xf numFmtId="4" fontId="153" fillId="16" borderId="169" xfId="10" applyNumberFormat="1" applyFont="1" applyFill="1" applyBorder="1" applyAlignment="1">
      <alignment vertical="center"/>
    </xf>
    <xf numFmtId="4" fontId="153" fillId="16" borderId="170" xfId="10" applyNumberFormat="1" applyFont="1" applyFill="1" applyBorder="1" applyAlignment="1">
      <alignment vertical="center"/>
    </xf>
    <xf numFmtId="0" fontId="147" fillId="16" borderId="158" xfId="10" applyFont="1" applyFill="1" applyBorder="1" applyAlignment="1" applyProtection="1">
      <alignment horizontal="center" vertical="center"/>
      <protection locked="0"/>
    </xf>
    <xf numFmtId="0" fontId="153" fillId="16" borderId="159" xfId="10" applyFont="1" applyFill="1" applyBorder="1" applyAlignment="1" applyProtection="1">
      <alignment horizontal="center" vertical="center"/>
      <protection locked="0"/>
    </xf>
    <xf numFmtId="0" fontId="153" fillId="16" borderId="160" xfId="10" applyFont="1" applyFill="1" applyBorder="1" applyAlignment="1" applyProtection="1">
      <alignment horizontal="center" vertical="center"/>
      <protection locked="0"/>
    </xf>
    <xf numFmtId="0" fontId="3" fillId="0" borderId="164" xfId="10" applyBorder="1" applyAlignment="1">
      <alignment horizontal="center" vertical="center"/>
    </xf>
    <xf numFmtId="0" fontId="3" fillId="0" borderId="165" xfId="10" applyBorder="1" applyAlignment="1">
      <alignment horizontal="center" vertical="center"/>
    </xf>
    <xf numFmtId="0" fontId="3" fillId="0" borderId="166" xfId="10" applyBorder="1" applyAlignment="1">
      <alignment horizontal="center" vertical="center"/>
    </xf>
    <xf numFmtId="0" fontId="154" fillId="30" borderId="161" xfId="10" applyFont="1" applyFill="1" applyBorder="1" applyAlignment="1">
      <alignment vertical="center"/>
    </xf>
    <xf numFmtId="0" fontId="3" fillId="0" borderId="161" xfId="10" applyBorder="1" applyAlignment="1">
      <alignment vertical="center"/>
    </xf>
    <xf numFmtId="0" fontId="100" fillId="0" borderId="0" xfId="10" applyFont="1" applyAlignment="1">
      <alignment vertical="center"/>
    </xf>
    <xf numFmtId="0" fontId="100" fillId="0" borderId="162" xfId="10" applyFont="1" applyBorder="1" applyAlignment="1">
      <alignment vertical="center"/>
    </xf>
    <xf numFmtId="0" fontId="3" fillId="30" borderId="161" xfId="10" applyFill="1" applyBorder="1" applyAlignment="1">
      <alignment vertical="center"/>
    </xf>
    <xf numFmtId="0" fontId="147" fillId="16" borderId="168" xfId="10" applyFont="1" applyFill="1" applyBorder="1" applyAlignment="1" applyProtection="1">
      <alignment horizontal="center" vertical="center"/>
      <protection locked="0"/>
    </xf>
    <xf numFmtId="0" fontId="153" fillId="16" borderId="169" xfId="10" applyFont="1" applyFill="1" applyBorder="1" applyAlignment="1" applyProtection="1">
      <alignment horizontal="center" vertical="center"/>
      <protection locked="0"/>
    </xf>
    <xf numFmtId="0" fontId="153" fillId="16" borderId="170" xfId="10" applyFont="1" applyFill="1" applyBorder="1" applyAlignment="1" applyProtection="1">
      <alignment horizontal="center" vertical="center"/>
      <protection locked="0"/>
    </xf>
    <xf numFmtId="3" fontId="147" fillId="21" borderId="168" xfId="10" applyNumberFormat="1" applyFont="1" applyFill="1" applyBorder="1" applyAlignment="1">
      <alignment vertical="center"/>
    </xf>
    <xf numFmtId="3" fontId="3" fillId="0" borderId="169" xfId="10" applyNumberFormat="1" applyBorder="1" applyAlignment="1">
      <alignment vertical="center"/>
    </xf>
    <xf numFmtId="3" fontId="3" fillId="0" borderId="170" xfId="10" applyNumberFormat="1" applyBorder="1" applyAlignment="1">
      <alignment vertical="center"/>
    </xf>
    <xf numFmtId="0" fontId="144" fillId="30" borderId="162" xfId="10" applyFont="1" applyFill="1" applyBorder="1" applyAlignment="1">
      <alignment horizontal="right"/>
    </xf>
    <xf numFmtId="3" fontId="147" fillId="21" borderId="158" xfId="10" applyNumberFormat="1" applyFont="1" applyFill="1" applyBorder="1" applyAlignment="1" applyProtection="1">
      <alignment vertical="center"/>
      <protection locked="0"/>
    </xf>
    <xf numFmtId="3" fontId="3" fillId="0" borderId="159" xfId="10" applyNumberFormat="1" applyBorder="1" applyAlignment="1" applyProtection="1">
      <alignment vertical="center"/>
      <protection locked="0"/>
    </xf>
    <xf numFmtId="3" fontId="3" fillId="0" borderId="164" xfId="10" applyNumberFormat="1" applyBorder="1" applyAlignment="1" applyProtection="1">
      <alignment vertical="center"/>
      <protection locked="0"/>
    </xf>
    <xf numFmtId="3" fontId="3" fillId="0" borderId="165" xfId="10" applyNumberFormat="1" applyBorder="1" applyAlignment="1" applyProtection="1">
      <alignment vertical="center"/>
      <protection locked="0"/>
    </xf>
    <xf numFmtId="0" fontId="100" fillId="31" borderId="161" xfId="10" applyFont="1" applyFill="1" applyBorder="1" applyAlignment="1">
      <alignment vertical="center"/>
    </xf>
    <xf numFmtId="0" fontId="143" fillId="30" borderId="0" xfId="10" applyFont="1" applyFill="1" applyAlignment="1">
      <alignment vertical="center"/>
    </xf>
    <xf numFmtId="0" fontId="143" fillId="30" borderId="162" xfId="10" applyFont="1" applyFill="1" applyBorder="1" applyAlignment="1">
      <alignment vertical="center"/>
    </xf>
    <xf numFmtId="0" fontId="137" fillId="30" borderId="161" xfId="10" applyFont="1" applyFill="1" applyBorder="1" applyAlignment="1">
      <alignment horizontal="right"/>
    </xf>
    <xf numFmtId="0" fontId="154" fillId="30" borderId="0" xfId="10" applyFont="1" applyFill="1" applyAlignment="1">
      <alignment vertical="center"/>
    </xf>
    <xf numFmtId="0" fontId="141" fillId="30" borderId="0" xfId="10" applyFont="1" applyFill="1" applyAlignment="1">
      <alignment horizontal="right" vertical="center"/>
    </xf>
    <xf numFmtId="0" fontId="141" fillId="0" borderId="0" xfId="10" applyFont="1" applyAlignment="1">
      <alignment horizontal="right" vertical="center"/>
    </xf>
    <xf numFmtId="0" fontId="141" fillId="0" borderId="162" xfId="10" applyFont="1" applyBorder="1" applyAlignment="1">
      <alignment horizontal="right" vertical="center"/>
    </xf>
    <xf numFmtId="0" fontId="141" fillId="31" borderId="161" xfId="10" applyFont="1" applyFill="1" applyBorder="1" applyAlignment="1">
      <alignment vertical="center"/>
    </xf>
    <xf numFmtId="0" fontId="2" fillId="31" borderId="0" xfId="10" applyFont="1" applyFill="1" applyAlignment="1">
      <alignment vertical="center"/>
    </xf>
    <xf numFmtId="0" fontId="144" fillId="31" borderId="0" xfId="10" applyFont="1" applyFill="1" applyAlignment="1">
      <alignment horizontal="left"/>
    </xf>
    <xf numFmtId="4" fontId="147" fillId="16" borderId="158" xfId="10" applyNumberFormat="1" applyFont="1" applyFill="1" applyBorder="1" applyAlignment="1">
      <alignment vertical="center"/>
    </xf>
    <xf numFmtId="4" fontId="153" fillId="16" borderId="159" xfId="10" applyNumberFormat="1" applyFont="1" applyFill="1" applyBorder="1" applyAlignment="1">
      <alignment vertical="center"/>
    </xf>
    <xf numFmtId="4" fontId="153" fillId="16" borderId="160" xfId="10" applyNumberFormat="1" applyFont="1" applyFill="1" applyBorder="1" applyAlignment="1">
      <alignment vertical="center"/>
    </xf>
    <xf numFmtId="0" fontId="3" fillId="0" borderId="164" xfId="10" applyBorder="1" applyAlignment="1">
      <alignment vertical="center"/>
    </xf>
    <xf numFmtId="0" fontId="3" fillId="0" borderId="166" xfId="10" applyBorder="1" applyAlignment="1">
      <alignment vertical="center"/>
    </xf>
    <xf numFmtId="0" fontId="144" fillId="31" borderId="161" xfId="10" applyFont="1" applyFill="1" applyBorder="1" applyAlignment="1">
      <alignment horizontal="right"/>
    </xf>
    <xf numFmtId="0" fontId="143" fillId="30" borderId="168" xfId="10" applyFont="1" applyFill="1" applyBorder="1"/>
    <xf numFmtId="0" fontId="3" fillId="30" borderId="169" xfId="10" applyFill="1" applyBorder="1"/>
    <xf numFmtId="0" fontId="3" fillId="30" borderId="170" xfId="10" applyFill="1" applyBorder="1"/>
    <xf numFmtId="0" fontId="143" fillId="14" borderId="158" xfId="10" applyFont="1" applyFill="1" applyBorder="1"/>
    <xf numFmtId="0" fontId="3" fillId="14" borderId="159" xfId="10" applyFill="1" applyBorder="1"/>
    <xf numFmtId="0" fontId="144" fillId="14" borderId="159" xfId="10" applyFont="1" applyFill="1" applyBorder="1" applyAlignment="1">
      <alignment horizontal="center"/>
    </xf>
    <xf numFmtId="0" fontId="3" fillId="32" borderId="164" xfId="10" applyFill="1" applyBorder="1"/>
    <xf numFmtId="0" fontId="3" fillId="32" borderId="165" xfId="10" applyFill="1" applyBorder="1" applyAlignment="1">
      <alignment vertical="center"/>
    </xf>
    <xf numFmtId="0" fontId="3" fillId="14" borderId="165" xfId="10" applyFill="1" applyBorder="1" applyAlignment="1">
      <alignment vertical="center"/>
    </xf>
    <xf numFmtId="0" fontId="3" fillId="14" borderId="166" xfId="10" applyFill="1" applyBorder="1" applyAlignment="1">
      <alignment vertical="center"/>
    </xf>
    <xf numFmtId="0" fontId="3" fillId="31" borderId="168" xfId="10" applyFill="1" applyBorder="1"/>
    <xf numFmtId="0" fontId="3" fillId="30" borderId="168" xfId="10" applyFill="1" applyBorder="1"/>
    <xf numFmtId="0" fontId="100" fillId="32" borderId="0" xfId="10" applyFont="1" applyFill="1" applyAlignment="1">
      <alignment vertical="center"/>
    </xf>
    <xf numFmtId="0" fontId="143" fillId="32" borderId="0" xfId="10" applyFont="1" applyFill="1" applyAlignment="1">
      <alignment vertical="center"/>
    </xf>
    <xf numFmtId="0" fontId="143" fillId="32" borderId="162" xfId="10" applyFont="1" applyFill="1" applyBorder="1" applyAlignment="1">
      <alignment vertical="center"/>
    </xf>
    <xf numFmtId="0" fontId="144" fillId="32" borderId="158" xfId="10" applyFont="1" applyFill="1" applyBorder="1" applyAlignment="1">
      <alignment horizontal="right" vertical="center"/>
    </xf>
    <xf numFmtId="0" fontId="155" fillId="0" borderId="159" xfId="10" applyFont="1" applyBorder="1" applyAlignment="1">
      <alignment horizontal="right"/>
    </xf>
    <xf numFmtId="0" fontId="142" fillId="32" borderId="159" xfId="10" applyFont="1" applyFill="1" applyBorder="1" applyAlignment="1">
      <alignment horizontal="left"/>
    </xf>
    <xf numFmtId="0" fontId="42" fillId="0" borderId="159" xfId="10" applyFont="1" applyBorder="1" applyAlignment="1">
      <alignment horizontal="left"/>
    </xf>
    <xf numFmtId="0" fontId="144" fillId="32" borderId="161" xfId="10" applyFont="1" applyFill="1" applyBorder="1" applyAlignment="1">
      <alignment horizontal="right" vertical="center"/>
    </xf>
    <xf numFmtId="0" fontId="152" fillId="14" borderId="0" xfId="10" applyFont="1" applyFill="1" applyAlignment="1">
      <alignment horizontal="left" vertical="center"/>
    </xf>
    <xf numFmtId="0" fontId="154" fillId="14" borderId="0" xfId="10" applyFont="1" applyFill="1" applyAlignment="1">
      <alignment horizontal="left" vertical="center"/>
    </xf>
    <xf numFmtId="3" fontId="147" fillId="16" borderId="158" xfId="10" applyNumberFormat="1" applyFont="1" applyFill="1" applyBorder="1" applyAlignment="1">
      <alignment vertical="center"/>
    </xf>
    <xf numFmtId="0" fontId="100" fillId="14" borderId="0" xfId="10" applyFont="1" applyFill="1" applyAlignment="1">
      <alignment vertical="center"/>
    </xf>
    <xf numFmtId="0" fontId="3" fillId="14" borderId="0" xfId="10" applyFill="1" applyAlignment="1">
      <alignment vertical="center"/>
    </xf>
    <xf numFmtId="3" fontId="147" fillId="21" borderId="158" xfId="10" applyNumberFormat="1" applyFont="1" applyFill="1" applyBorder="1" applyAlignment="1">
      <alignment horizontal="right" vertical="center"/>
    </xf>
    <xf numFmtId="3" fontId="147" fillId="16" borderId="159" xfId="10" applyNumberFormat="1" applyFont="1" applyFill="1" applyBorder="1" applyAlignment="1">
      <alignment horizontal="right" vertical="center"/>
    </xf>
    <xf numFmtId="3" fontId="147" fillId="16" borderId="160" xfId="10" applyNumberFormat="1" applyFont="1" applyFill="1" applyBorder="1" applyAlignment="1">
      <alignment horizontal="right" vertical="center"/>
    </xf>
    <xf numFmtId="3" fontId="147" fillId="16" borderId="164" xfId="10" applyNumberFormat="1" applyFont="1" applyFill="1" applyBorder="1" applyAlignment="1">
      <alignment horizontal="right" vertical="center"/>
    </xf>
    <xf numFmtId="3" fontId="147" fillId="16" borderId="165" xfId="10" applyNumberFormat="1" applyFont="1" applyFill="1" applyBorder="1" applyAlignment="1">
      <alignment horizontal="right" vertical="center"/>
    </xf>
    <xf numFmtId="3" fontId="147" fillId="16" borderId="166" xfId="10" applyNumberFormat="1" applyFont="1" applyFill="1" applyBorder="1" applyAlignment="1">
      <alignment horizontal="right" vertical="center"/>
    </xf>
    <xf numFmtId="0" fontId="144" fillId="32" borderId="161" xfId="10" applyFont="1" applyFill="1" applyBorder="1" applyAlignment="1">
      <alignment vertical="center"/>
    </xf>
    <xf numFmtId="0" fontId="31" fillId="0" borderId="0" xfId="10" applyFont="1" applyAlignment="1">
      <alignment vertical="center"/>
    </xf>
    <xf numFmtId="0" fontId="31" fillId="0" borderId="162" xfId="10" applyFont="1" applyBorder="1" applyAlignment="1">
      <alignment vertical="center"/>
    </xf>
    <xf numFmtId="0" fontId="100" fillId="14" borderId="161" xfId="10" applyFont="1" applyFill="1" applyBorder="1" applyAlignment="1">
      <alignment vertical="center"/>
    </xf>
    <xf numFmtId="0" fontId="152" fillId="32" borderId="0" xfId="10" applyFont="1" applyFill="1" applyAlignment="1">
      <alignment vertical="center"/>
    </xf>
    <xf numFmtId="0" fontId="152" fillId="14" borderId="0" xfId="10" applyFont="1" applyFill="1" applyAlignment="1">
      <alignment vertical="center"/>
    </xf>
    <xf numFmtId="0" fontId="152" fillId="14" borderId="162" xfId="10" applyFont="1" applyFill="1" applyBorder="1" applyAlignment="1">
      <alignment vertical="center"/>
    </xf>
    <xf numFmtId="0" fontId="140" fillId="32" borderId="161" xfId="10" applyFont="1" applyFill="1" applyBorder="1" applyAlignment="1">
      <alignment vertical="center"/>
    </xf>
    <xf numFmtId="0" fontId="156" fillId="31" borderId="159" xfId="10" applyFont="1" applyFill="1" applyBorder="1" applyAlignment="1">
      <alignment horizontal="center"/>
    </xf>
    <xf numFmtId="0" fontId="2" fillId="0" borderId="159" xfId="10" applyFont="1" applyBorder="1"/>
    <xf numFmtId="0" fontId="156" fillId="31" borderId="0" xfId="10" applyFont="1" applyFill="1" applyAlignment="1">
      <alignment horizontal="center"/>
    </xf>
    <xf numFmtId="0" fontId="2" fillId="0" borderId="0" xfId="10" applyFont="1"/>
    <xf numFmtId="0" fontId="145" fillId="31" borderId="158" xfId="10" applyFont="1" applyFill="1" applyBorder="1" applyAlignment="1">
      <alignment vertical="center" wrapText="1"/>
    </xf>
    <xf numFmtId="0" fontId="3" fillId="0" borderId="159" xfId="10" applyBorder="1" applyAlignment="1">
      <alignment wrapText="1"/>
    </xf>
    <xf numFmtId="0" fontId="3" fillId="0" borderId="161" xfId="10" applyBorder="1" applyAlignment="1">
      <alignment wrapText="1"/>
    </xf>
    <xf numFmtId="0" fontId="3" fillId="30" borderId="159" xfId="10" applyFill="1" applyBorder="1" applyAlignment="1">
      <alignment wrapText="1"/>
    </xf>
    <xf numFmtId="0" fontId="3" fillId="30" borderId="169" xfId="10" applyFill="1" applyBorder="1" applyAlignment="1">
      <alignment wrapText="1"/>
    </xf>
    <xf numFmtId="0" fontId="3" fillId="31" borderId="159" xfId="10" applyFill="1" applyBorder="1"/>
    <xf numFmtId="0" fontId="145" fillId="0" borderId="158" xfId="10" applyFont="1" applyBorder="1" applyAlignment="1" applyProtection="1">
      <alignment horizontal="center" wrapText="1"/>
      <protection locked="0"/>
    </xf>
    <xf numFmtId="0" fontId="145" fillId="0" borderId="159" xfId="10" applyFont="1" applyBorder="1" applyAlignment="1" applyProtection="1">
      <alignment horizontal="center"/>
      <protection locked="0"/>
    </xf>
    <xf numFmtId="0" fontId="145" fillId="0" borderId="160" xfId="10" applyFont="1" applyBorder="1" applyAlignment="1" applyProtection="1">
      <alignment horizontal="center"/>
      <protection locked="0"/>
    </xf>
    <xf numFmtId="0" fontId="145" fillId="0" borderId="161" xfId="10" applyFont="1" applyBorder="1" applyAlignment="1" applyProtection="1">
      <alignment horizontal="center"/>
      <protection locked="0"/>
    </xf>
    <xf numFmtId="0" fontId="145" fillId="0" borderId="0" xfId="10" applyFont="1" applyAlignment="1" applyProtection="1">
      <alignment horizontal="center"/>
      <protection locked="0"/>
    </xf>
    <xf numFmtId="0" fontId="145" fillId="0" borderId="162" xfId="10" applyFont="1" applyBorder="1" applyAlignment="1" applyProtection="1">
      <alignment horizontal="center"/>
      <protection locked="0"/>
    </xf>
    <xf numFmtId="0" fontId="145" fillId="0" borderId="164" xfId="10" applyFont="1" applyBorder="1" applyAlignment="1" applyProtection="1">
      <alignment horizontal="center"/>
      <protection locked="0"/>
    </xf>
    <xf numFmtId="0" fontId="145" fillId="0" borderId="165" xfId="10" applyFont="1" applyBorder="1" applyAlignment="1" applyProtection="1">
      <alignment horizontal="center"/>
      <protection locked="0"/>
    </xf>
    <xf numFmtId="0" fontId="145" fillId="0" borderId="166" xfId="10" applyFont="1" applyBorder="1" applyAlignment="1" applyProtection="1">
      <alignment horizontal="center"/>
      <protection locked="0"/>
    </xf>
    <xf numFmtId="0" fontId="141" fillId="30" borderId="0" xfId="10" applyFont="1" applyFill="1" applyAlignment="1">
      <alignment horizontal="center"/>
    </xf>
    <xf numFmtId="0" fontId="141" fillId="0" borderId="0" xfId="10" applyFont="1" applyAlignment="1">
      <alignment horizontal="center"/>
    </xf>
    <xf numFmtId="0" fontId="140" fillId="31" borderId="165" xfId="10" applyFont="1" applyFill="1" applyBorder="1" applyAlignment="1">
      <alignment horizontal="left"/>
    </xf>
    <xf numFmtId="0" fontId="3" fillId="0" borderId="165" xfId="10" applyBorder="1" applyAlignment="1">
      <alignment horizontal="left"/>
    </xf>
    <xf numFmtId="14" fontId="147" fillId="21" borderId="158" xfId="10" applyNumberFormat="1" applyFont="1" applyFill="1" applyBorder="1" applyAlignment="1" applyProtection="1">
      <alignment horizontal="center" vertical="center"/>
      <protection locked="0"/>
    </xf>
    <xf numFmtId="0" fontId="3" fillId="0" borderId="159" xfId="10" applyBorder="1" applyAlignment="1" applyProtection="1">
      <alignment horizontal="center" vertical="center"/>
      <protection locked="0"/>
    </xf>
    <xf numFmtId="0" fontId="3" fillId="0" borderId="160" xfId="10" applyBorder="1" applyAlignment="1" applyProtection="1">
      <alignment horizontal="center" vertical="center"/>
      <protection locked="0"/>
    </xf>
    <xf numFmtId="0" fontId="3" fillId="0" borderId="164" xfId="10" applyBorder="1" applyAlignment="1" applyProtection="1">
      <alignment horizontal="center" vertical="center"/>
      <protection locked="0"/>
    </xf>
    <xf numFmtId="0" fontId="3" fillId="0" borderId="165" xfId="10" applyBorder="1" applyAlignment="1" applyProtection="1">
      <alignment horizontal="center" vertical="center"/>
      <protection locked="0"/>
    </xf>
    <xf numFmtId="0" fontId="3" fillId="0" borderId="166" xfId="10" applyBorder="1" applyAlignment="1" applyProtection="1">
      <alignment horizontal="center" vertical="center"/>
      <protection locked="0"/>
    </xf>
    <xf numFmtId="0" fontId="36" fillId="7" borderId="0" xfId="10" applyFont="1" applyFill="1" applyProtection="1">
      <protection locked="0"/>
    </xf>
    <xf numFmtId="0" fontId="3" fillId="0" borderId="0" xfId="10" applyProtection="1">
      <protection locked="0"/>
    </xf>
    <xf numFmtId="0" fontId="77" fillId="7" borderId="176" xfId="10" applyFont="1" applyFill="1" applyBorder="1" applyAlignment="1">
      <alignment horizontal="center"/>
    </xf>
    <xf numFmtId="0" fontId="77" fillId="0" borderId="0" xfId="10" applyFont="1" applyAlignment="1">
      <alignment horizontal="center"/>
    </xf>
    <xf numFmtId="0" fontId="77" fillId="0" borderId="177" xfId="10" applyFont="1" applyBorder="1" applyAlignment="1">
      <alignment horizontal="center"/>
    </xf>
    <xf numFmtId="0" fontId="3" fillId="7" borderId="0" xfId="10" applyFill="1" applyProtection="1">
      <protection locked="0"/>
    </xf>
    <xf numFmtId="0" fontId="4" fillId="7" borderId="176" xfId="10" applyFont="1" applyFill="1" applyBorder="1" applyAlignment="1">
      <alignment horizontal="center" vertical="center"/>
    </xf>
    <xf numFmtId="0" fontId="4" fillId="0" borderId="0" xfId="10" applyFont="1" applyAlignment="1">
      <alignment horizontal="center" vertical="center"/>
    </xf>
    <xf numFmtId="0" fontId="4" fillId="0" borderId="177" xfId="10" applyFont="1" applyBorder="1" applyAlignment="1">
      <alignment horizontal="center" vertical="center"/>
    </xf>
    <xf numFmtId="0" fontId="77" fillId="0" borderId="178" xfId="10" applyFont="1" applyBorder="1" applyAlignment="1">
      <alignment horizontal="center" vertical="center"/>
    </xf>
    <xf numFmtId="0" fontId="77" fillId="0" borderId="179" xfId="10" applyFont="1" applyBorder="1" applyAlignment="1">
      <alignment horizontal="center" vertical="center"/>
    </xf>
    <xf numFmtId="0" fontId="77" fillId="0" borderId="180" xfId="10" applyFont="1" applyBorder="1" applyAlignment="1">
      <alignment horizontal="center" vertical="center"/>
    </xf>
    <xf numFmtId="0" fontId="76" fillId="2" borderId="0" xfId="10" applyFont="1" applyFill="1" applyAlignment="1">
      <alignment vertical="center" wrapText="1"/>
    </xf>
    <xf numFmtId="0" fontId="58" fillId="7" borderId="0" xfId="10" applyFont="1" applyFill="1" applyAlignment="1">
      <alignment horizontal="center" vertical="center"/>
    </xf>
    <xf numFmtId="0" fontId="155" fillId="2" borderId="0" xfId="10" applyFont="1" applyFill="1" applyAlignment="1">
      <alignment vertical="top" wrapText="1"/>
    </xf>
    <xf numFmtId="0" fontId="155" fillId="7" borderId="0" xfId="10" applyFont="1" applyFill="1" applyAlignment="1">
      <alignment horizontal="right" vertical="center"/>
    </xf>
    <xf numFmtId="0" fontId="155" fillId="0" borderId="161" xfId="10" applyFont="1" applyBorder="1" applyAlignment="1">
      <alignment horizontal="right"/>
    </xf>
    <xf numFmtId="0" fontId="155" fillId="0" borderId="0" xfId="10" applyFont="1" applyAlignment="1">
      <alignment horizontal="right"/>
    </xf>
    <xf numFmtId="0" fontId="155" fillId="0" borderId="162" xfId="10" applyFont="1" applyBorder="1" applyAlignment="1">
      <alignment horizontal="right"/>
    </xf>
    <xf numFmtId="0" fontId="77" fillId="7" borderId="173" xfId="10" applyFont="1" applyFill="1" applyBorder="1" applyAlignment="1">
      <alignment horizontal="center" vertical="center"/>
    </xf>
    <xf numFmtId="0" fontId="77" fillId="0" borderId="174" xfId="10" applyFont="1" applyBorder="1" applyAlignment="1">
      <alignment horizontal="center" vertical="center"/>
    </xf>
    <xf numFmtId="0" fontId="77" fillId="0" borderId="175" xfId="10" applyFont="1" applyBorder="1" applyAlignment="1">
      <alignment horizontal="center" vertical="center"/>
    </xf>
    <xf numFmtId="0" fontId="84" fillId="7" borderId="173" xfId="10" applyFont="1" applyFill="1" applyBorder="1" applyAlignment="1">
      <alignment horizontal="center"/>
    </xf>
    <xf numFmtId="0" fontId="31" fillId="0" borderId="174" xfId="10" applyFont="1" applyBorder="1"/>
    <xf numFmtId="0" fontId="31" fillId="0" borderId="175" xfId="10" applyFont="1" applyBorder="1"/>
    <xf numFmtId="0" fontId="31" fillId="0" borderId="176" xfId="10" applyFont="1" applyBorder="1"/>
    <xf numFmtId="0" fontId="31" fillId="0" borderId="0" xfId="10" applyFont="1"/>
    <xf numFmtId="0" fontId="31" fillId="0" borderId="177" xfId="10" applyFont="1" applyBorder="1"/>
    <xf numFmtId="0" fontId="31" fillId="0" borderId="178" xfId="10" applyFont="1" applyBorder="1"/>
    <xf numFmtId="0" fontId="31" fillId="0" borderId="179" xfId="10" applyFont="1" applyBorder="1"/>
    <xf numFmtId="0" fontId="31" fillId="0" borderId="180" xfId="10" applyFont="1" applyBorder="1"/>
    <xf numFmtId="0" fontId="155" fillId="16" borderId="176" xfId="10" applyFont="1" applyFill="1" applyBorder="1" applyAlignment="1">
      <alignment vertical="center"/>
    </xf>
    <xf numFmtId="0" fontId="155" fillId="16" borderId="0" xfId="10" applyFont="1" applyFill="1" applyAlignment="1">
      <alignment vertical="center"/>
    </xf>
    <xf numFmtId="0" fontId="3" fillId="16" borderId="0" xfId="10" applyFill="1" applyAlignment="1">
      <alignment vertical="center"/>
    </xf>
    <xf numFmtId="0" fontId="155" fillId="37" borderId="0" xfId="10" applyFont="1" applyFill="1" applyAlignment="1">
      <alignment horizontal="center" vertical="center"/>
    </xf>
    <xf numFmtId="0" fontId="31" fillId="37" borderId="0" xfId="10" applyFont="1" applyFill="1" applyAlignment="1">
      <alignment horizontal="center" vertical="center"/>
    </xf>
    <xf numFmtId="0" fontId="31" fillId="37" borderId="177" xfId="10" applyFont="1" applyFill="1" applyBorder="1" applyAlignment="1">
      <alignment horizontal="center" vertical="center"/>
    </xf>
    <xf numFmtId="0" fontId="147" fillId="16" borderId="182" xfId="10" applyFont="1" applyFill="1" applyBorder="1" applyAlignment="1">
      <alignment vertical="center"/>
    </xf>
    <xf numFmtId="0" fontId="3" fillId="16" borderId="183" xfId="10" applyFill="1" applyBorder="1" applyAlignment="1">
      <alignment vertical="center"/>
    </xf>
    <xf numFmtId="0" fontId="3" fillId="16" borderId="184" xfId="10" applyFill="1" applyBorder="1" applyAlignment="1">
      <alignment vertical="center"/>
    </xf>
    <xf numFmtId="3" fontId="148" fillId="21" borderId="182" xfId="10" applyNumberFormat="1" applyFont="1" applyFill="1" applyBorder="1" applyAlignment="1">
      <alignment horizontal="center" vertical="center"/>
    </xf>
    <xf numFmtId="3" fontId="148" fillId="21" borderId="183" xfId="10" applyNumberFormat="1" applyFont="1" applyFill="1" applyBorder="1" applyAlignment="1">
      <alignment horizontal="center" vertical="center"/>
    </xf>
    <xf numFmtId="0" fontId="148" fillId="16" borderId="183" xfId="10" applyFont="1" applyFill="1" applyBorder="1" applyAlignment="1">
      <alignment horizontal="center" vertical="center"/>
    </xf>
    <xf numFmtId="0" fontId="148" fillId="16" borderId="184" xfId="10" applyFont="1" applyFill="1" applyBorder="1" applyAlignment="1">
      <alignment horizontal="center" vertical="center"/>
    </xf>
    <xf numFmtId="0" fontId="36" fillId="7" borderId="0" xfId="10" applyFont="1" applyFill="1" applyAlignment="1">
      <alignment horizontal="center" vertical="center"/>
    </xf>
    <xf numFmtId="0" fontId="2" fillId="36" borderId="182" xfId="10" applyFont="1" applyFill="1" applyBorder="1" applyAlignment="1">
      <alignment vertical="center"/>
    </xf>
    <xf numFmtId="0" fontId="2" fillId="36" borderId="183" xfId="10" applyFont="1" applyFill="1" applyBorder="1" applyAlignment="1">
      <alignment vertical="center"/>
    </xf>
    <xf numFmtId="0" fontId="2" fillId="36" borderId="184" xfId="10" applyFont="1" applyFill="1" applyBorder="1" applyAlignment="1">
      <alignment vertical="center"/>
    </xf>
    <xf numFmtId="0" fontId="155" fillId="16" borderId="177" xfId="10" applyFont="1" applyFill="1" applyBorder="1" applyAlignment="1">
      <alignment vertical="center"/>
    </xf>
    <xf numFmtId="0" fontId="147" fillId="16" borderId="182" xfId="10" applyFont="1" applyFill="1" applyBorder="1" applyAlignment="1" applyProtection="1">
      <alignment vertical="center"/>
      <protection locked="0"/>
    </xf>
    <xf numFmtId="0" fontId="147" fillId="16" borderId="183" xfId="10" applyFont="1" applyFill="1" applyBorder="1" applyAlignment="1" applyProtection="1">
      <alignment vertical="center"/>
      <protection locked="0"/>
    </xf>
    <xf numFmtId="0" fontId="147" fillId="16" borderId="184" xfId="10" applyFont="1" applyFill="1" applyBorder="1" applyAlignment="1" applyProtection="1">
      <alignment vertical="center"/>
      <protection locked="0"/>
    </xf>
    <xf numFmtId="0" fontId="155" fillId="21" borderId="176" xfId="10" applyFont="1" applyFill="1" applyBorder="1" applyAlignment="1">
      <alignment vertical="center"/>
    </xf>
    <xf numFmtId="0" fontId="155" fillId="16" borderId="0" xfId="10" applyFont="1" applyFill="1" applyAlignment="1">
      <alignment horizontal="center" vertical="center"/>
    </xf>
    <xf numFmtId="0" fontId="155" fillId="16" borderId="177" xfId="10" applyFont="1" applyFill="1" applyBorder="1" applyAlignment="1">
      <alignment horizontal="center" vertical="center"/>
    </xf>
    <xf numFmtId="0" fontId="147" fillId="21" borderId="182" xfId="10" applyFont="1" applyFill="1" applyBorder="1" applyAlignment="1" applyProtection="1">
      <alignment horizontal="left" vertical="center"/>
      <protection locked="0"/>
    </xf>
    <xf numFmtId="0" fontId="3" fillId="16" borderId="183" xfId="10" applyFill="1" applyBorder="1" applyAlignment="1">
      <alignment horizontal="left" vertical="center"/>
    </xf>
    <xf numFmtId="0" fontId="3" fillId="16" borderId="184" xfId="10" applyFill="1" applyBorder="1" applyAlignment="1">
      <alignment horizontal="left" vertical="center"/>
    </xf>
    <xf numFmtId="0" fontId="147" fillId="16" borderId="0" xfId="10" applyFont="1" applyFill="1" applyAlignment="1">
      <alignment horizontal="left" vertical="center"/>
    </xf>
    <xf numFmtId="0" fontId="155" fillId="21" borderId="0" xfId="10" applyFont="1" applyFill="1" applyAlignment="1">
      <alignment vertical="center"/>
    </xf>
    <xf numFmtId="0" fontId="155" fillId="21" borderId="177" xfId="10" applyFont="1" applyFill="1" applyBorder="1" applyAlignment="1">
      <alignment vertical="center"/>
    </xf>
    <xf numFmtId="0" fontId="155" fillId="21" borderId="0" xfId="10" applyFont="1" applyFill="1" applyAlignment="1">
      <alignment horizontal="center" vertical="center"/>
    </xf>
    <xf numFmtId="0" fontId="3" fillId="16" borderId="0" xfId="10" applyFill="1" applyAlignment="1">
      <alignment horizontal="center" vertical="center"/>
    </xf>
    <xf numFmtId="0" fontId="3" fillId="16" borderId="177" xfId="10" applyFill="1" applyBorder="1" applyAlignment="1">
      <alignment horizontal="center" vertical="center"/>
    </xf>
    <xf numFmtId="0" fontId="147" fillId="21" borderId="182" xfId="10" applyFont="1" applyFill="1" applyBorder="1" applyAlignment="1">
      <alignment horizontal="center" vertical="center"/>
    </xf>
    <xf numFmtId="0" fontId="3" fillId="16" borderId="183" xfId="10" applyFill="1" applyBorder="1" applyAlignment="1">
      <alignment horizontal="center" vertical="center"/>
    </xf>
    <xf numFmtId="0" fontId="3" fillId="16" borderId="184" xfId="10" applyFill="1" applyBorder="1" applyAlignment="1">
      <alignment horizontal="center" vertical="center"/>
    </xf>
    <xf numFmtId="0" fontId="147" fillId="16" borderId="182" xfId="10" applyFont="1" applyFill="1" applyBorder="1" applyAlignment="1">
      <alignment horizontal="left" vertical="center"/>
    </xf>
    <xf numFmtId="0" fontId="147" fillId="16" borderId="183" xfId="10" applyFont="1" applyFill="1" applyBorder="1" applyAlignment="1">
      <alignment vertical="center"/>
    </xf>
    <xf numFmtId="0" fontId="147" fillId="16" borderId="184" xfId="10" applyFont="1" applyFill="1" applyBorder="1" applyAlignment="1">
      <alignment vertical="center"/>
    </xf>
    <xf numFmtId="0" fontId="147" fillId="21" borderId="182" xfId="10" applyFont="1" applyFill="1" applyBorder="1" applyAlignment="1" applyProtection="1">
      <alignment vertical="center"/>
      <protection locked="0"/>
    </xf>
    <xf numFmtId="0" fontId="147" fillId="21" borderId="183" xfId="10" applyFont="1" applyFill="1" applyBorder="1" applyAlignment="1" applyProtection="1">
      <alignment vertical="center"/>
      <protection locked="0"/>
    </xf>
    <xf numFmtId="0" fontId="3" fillId="21" borderId="176" xfId="10" applyFill="1" applyBorder="1"/>
    <xf numFmtId="0" fontId="3" fillId="21" borderId="0" xfId="10" applyFill="1"/>
    <xf numFmtId="0" fontId="3" fillId="21" borderId="177" xfId="10" applyFill="1" applyBorder="1"/>
    <xf numFmtId="0" fontId="3" fillId="19" borderId="183" xfId="10" applyFill="1" applyBorder="1" applyAlignment="1">
      <alignment vertical="center"/>
    </xf>
    <xf numFmtId="0" fontId="3" fillId="19" borderId="184" xfId="10" applyFill="1" applyBorder="1" applyAlignment="1">
      <alignment vertical="center"/>
    </xf>
    <xf numFmtId="0" fontId="58" fillId="21" borderId="174" xfId="10" applyFont="1" applyFill="1" applyBorder="1" applyAlignment="1">
      <alignment vertical="center"/>
    </xf>
    <xf numFmtId="0" fontId="3" fillId="16" borderId="174" xfId="10" applyFill="1" applyBorder="1" applyAlignment="1">
      <alignment vertical="center"/>
    </xf>
    <xf numFmtId="0" fontId="3" fillId="16" borderId="175" xfId="10" applyFill="1" applyBorder="1" applyAlignment="1">
      <alignment vertical="center"/>
    </xf>
    <xf numFmtId="0" fontId="157" fillId="16" borderId="161" xfId="10" applyFont="1" applyFill="1" applyBorder="1" applyAlignment="1">
      <alignment vertical="center"/>
    </xf>
    <xf numFmtId="0" fontId="3" fillId="16" borderId="0" xfId="10" applyFill="1"/>
    <xf numFmtId="0" fontId="3" fillId="16" borderId="177" xfId="10" applyFill="1" applyBorder="1"/>
    <xf numFmtId="49" fontId="155" fillId="21" borderId="0" xfId="10" applyNumberFormat="1" applyFont="1" applyFill="1" applyAlignment="1">
      <alignment horizontal="right"/>
    </xf>
    <xf numFmtId="0" fontId="155" fillId="16" borderId="0" xfId="10" applyFont="1" applyFill="1" applyAlignment="1">
      <alignment horizontal="right"/>
    </xf>
    <xf numFmtId="0" fontId="3" fillId="16" borderId="162" xfId="10" applyFill="1" applyBorder="1"/>
    <xf numFmtId="0" fontId="58" fillId="21" borderId="0" xfId="10" applyFont="1" applyFill="1" applyAlignment="1">
      <alignment horizontal="right"/>
    </xf>
    <xf numFmtId="0" fontId="3" fillId="16" borderId="0" xfId="10" applyFill="1" applyAlignment="1">
      <alignment horizontal="right"/>
    </xf>
    <xf numFmtId="0" fontId="57" fillId="28" borderId="161" xfId="10" applyFont="1" applyFill="1" applyBorder="1" applyAlignment="1">
      <alignment horizontal="center" vertical="center"/>
    </xf>
    <xf numFmtId="0" fontId="3" fillId="21" borderId="161" xfId="10" applyFill="1" applyBorder="1"/>
    <xf numFmtId="0" fontId="58" fillId="21" borderId="0" xfId="10" applyFont="1" applyFill="1" applyAlignment="1">
      <alignment vertical="center"/>
    </xf>
    <xf numFmtId="0" fontId="3" fillId="16" borderId="177" xfId="10" applyFill="1" applyBorder="1" applyAlignment="1">
      <alignment vertical="center"/>
    </xf>
    <xf numFmtId="0" fontId="155" fillId="16" borderId="161" xfId="10" applyFont="1" applyFill="1" applyBorder="1" applyAlignment="1">
      <alignment vertical="center"/>
    </xf>
    <xf numFmtId="0" fontId="31" fillId="21" borderId="0" xfId="10" applyFont="1" applyFill="1" applyAlignment="1">
      <alignment horizontal="left"/>
    </xf>
    <xf numFmtId="0" fontId="3" fillId="16" borderId="0" xfId="10" applyFill="1" applyAlignment="1">
      <alignment horizontal="left"/>
    </xf>
    <xf numFmtId="0" fontId="31" fillId="21" borderId="0" xfId="10" applyFont="1" applyFill="1"/>
    <xf numFmtId="0" fontId="11" fillId="21" borderId="0" xfId="10" applyFont="1" applyFill="1" applyAlignment="1">
      <alignment wrapText="1"/>
    </xf>
    <xf numFmtId="0" fontId="3" fillId="16" borderId="0" xfId="10" applyFill="1" applyAlignment="1">
      <alignment wrapText="1"/>
    </xf>
    <xf numFmtId="0" fontId="11" fillId="16" borderId="0" xfId="10" applyFont="1" applyFill="1" applyAlignment="1">
      <alignment wrapText="1"/>
    </xf>
    <xf numFmtId="0" fontId="11" fillId="16" borderId="0" xfId="10" applyFont="1" applyFill="1"/>
    <xf numFmtId="0" fontId="3" fillId="16" borderId="182" xfId="10" applyFill="1" applyBorder="1" applyAlignment="1" applyProtection="1">
      <alignment wrapText="1"/>
      <protection locked="0"/>
    </xf>
    <xf numFmtId="0" fontId="3" fillId="16" borderId="183" xfId="10" applyFill="1" applyBorder="1"/>
    <xf numFmtId="0" fontId="3" fillId="16" borderId="184" xfId="10" applyFill="1" applyBorder="1"/>
    <xf numFmtId="0" fontId="3" fillId="16" borderId="185" xfId="10" applyFill="1" applyBorder="1" applyProtection="1">
      <protection locked="0"/>
    </xf>
    <xf numFmtId="0" fontId="3" fillId="16" borderId="186" xfId="10" applyFill="1" applyBorder="1" applyProtection="1">
      <protection locked="0"/>
    </xf>
    <xf numFmtId="0" fontId="3" fillId="16" borderId="187" xfId="10" applyFill="1" applyBorder="1" applyProtection="1">
      <protection locked="0"/>
    </xf>
    <xf numFmtId="0" fontId="73" fillId="21" borderId="0" xfId="10" applyFont="1" applyFill="1" applyAlignment="1">
      <alignment vertical="center"/>
    </xf>
    <xf numFmtId="0" fontId="73" fillId="16" borderId="0" xfId="10" applyFont="1" applyFill="1" applyAlignment="1">
      <alignment vertical="center"/>
    </xf>
    <xf numFmtId="3" fontId="147" fillId="16" borderId="182" xfId="10" applyNumberFormat="1" applyFont="1" applyFill="1" applyBorder="1" applyAlignment="1" applyProtection="1">
      <alignment vertical="center"/>
      <protection locked="0"/>
    </xf>
    <xf numFmtId="3" fontId="147" fillId="16" borderId="183" xfId="10" applyNumberFormat="1" applyFont="1" applyFill="1" applyBorder="1" applyAlignment="1" applyProtection="1">
      <alignment vertical="center"/>
      <protection locked="0"/>
    </xf>
    <xf numFmtId="3" fontId="147" fillId="16" borderId="184" xfId="10" applyNumberFormat="1" applyFont="1" applyFill="1" applyBorder="1" applyAlignment="1" applyProtection="1">
      <alignment vertical="center"/>
      <protection locked="0"/>
    </xf>
    <xf numFmtId="0" fontId="2" fillId="16" borderId="0" xfId="10" applyFont="1" applyFill="1" applyAlignment="1">
      <alignment vertical="center"/>
    </xf>
    <xf numFmtId="0" fontId="2" fillId="16" borderId="177" xfId="10" applyFont="1" applyFill="1" applyBorder="1" applyAlignment="1">
      <alignment vertical="center"/>
    </xf>
    <xf numFmtId="0" fontId="155" fillId="16" borderId="0" xfId="10" applyFont="1" applyFill="1" applyAlignment="1">
      <alignment horizontal="right" vertical="center"/>
    </xf>
    <xf numFmtId="0" fontId="2" fillId="16" borderId="0" xfId="10" applyFont="1" applyFill="1" applyAlignment="1">
      <alignment horizontal="right" vertical="center"/>
    </xf>
    <xf numFmtId="0" fontId="2" fillId="16" borderId="177" xfId="10" applyFont="1" applyFill="1" applyBorder="1" applyAlignment="1">
      <alignment horizontal="right" vertical="center"/>
    </xf>
    <xf numFmtId="0" fontId="31" fillId="16" borderId="0" xfId="10" applyFont="1" applyFill="1" applyAlignment="1">
      <alignment horizontal="right" vertical="center"/>
    </xf>
    <xf numFmtId="0" fontId="155" fillId="21" borderId="0" xfId="10" applyFont="1" applyFill="1" applyAlignment="1">
      <alignment horizontal="center"/>
    </xf>
    <xf numFmtId="0" fontId="3" fillId="16" borderId="0" xfId="10" applyFill="1" applyAlignment="1">
      <alignment horizontal="center"/>
    </xf>
    <xf numFmtId="0" fontId="3" fillId="16" borderId="177" xfId="10" applyFill="1" applyBorder="1" applyAlignment="1">
      <alignment horizontal="center"/>
    </xf>
    <xf numFmtId="0" fontId="2" fillId="19" borderId="183" xfId="10" applyFont="1" applyFill="1" applyBorder="1" applyAlignment="1">
      <alignment vertical="center"/>
    </xf>
    <xf numFmtId="0" fontId="2" fillId="19" borderId="184" xfId="10" applyFont="1" applyFill="1" applyBorder="1" applyAlignment="1">
      <alignment vertical="center"/>
    </xf>
    <xf numFmtId="0" fontId="2" fillId="21" borderId="0" xfId="10" applyFont="1" applyFill="1"/>
    <xf numFmtId="0" fontId="155" fillId="21" borderId="0" xfId="10" applyFont="1" applyFill="1"/>
    <xf numFmtId="0" fontId="3" fillId="16" borderId="173" xfId="10" applyFill="1" applyBorder="1"/>
    <xf numFmtId="0" fontId="3" fillId="16" borderId="174" xfId="10" applyFill="1" applyBorder="1"/>
    <xf numFmtId="0" fontId="3" fillId="16" borderId="176" xfId="10" applyFill="1" applyBorder="1"/>
    <xf numFmtId="0" fontId="155" fillId="21" borderId="174" xfId="10" applyFont="1" applyFill="1" applyBorder="1" applyAlignment="1">
      <alignment horizontal="center"/>
    </xf>
    <xf numFmtId="0" fontId="3" fillId="16" borderId="174" xfId="10" applyFill="1" applyBorder="1" applyAlignment="1">
      <alignment horizontal="center"/>
    </xf>
    <xf numFmtId="0" fontId="3" fillId="16" borderId="175" xfId="10" applyFill="1" applyBorder="1" applyAlignment="1">
      <alignment horizontal="center"/>
    </xf>
    <xf numFmtId="4" fontId="147" fillId="16" borderId="182" xfId="10" applyNumberFormat="1" applyFont="1" applyFill="1" applyBorder="1" applyAlignment="1">
      <alignment vertical="center"/>
    </xf>
    <xf numFmtId="4" fontId="153" fillId="16" borderId="183" xfId="10" applyNumberFormat="1" applyFont="1" applyFill="1" applyBorder="1" applyAlignment="1">
      <alignment vertical="center"/>
    </xf>
    <xf numFmtId="4" fontId="153" fillId="16" borderId="184" xfId="10" applyNumberFormat="1" applyFont="1" applyFill="1" applyBorder="1" applyAlignment="1">
      <alignment vertical="center"/>
    </xf>
    <xf numFmtId="0" fontId="147" fillId="16" borderId="173" xfId="10" applyFont="1" applyFill="1" applyBorder="1" applyAlignment="1" applyProtection="1">
      <alignment horizontal="center" vertical="center"/>
      <protection locked="0"/>
    </xf>
    <xf numFmtId="0" fontId="153" fillId="16" borderId="174" xfId="10" applyFont="1" applyFill="1" applyBorder="1" applyAlignment="1" applyProtection="1">
      <alignment horizontal="center" vertical="center"/>
      <protection locked="0"/>
    </xf>
    <xf numFmtId="0" fontId="153" fillId="16" borderId="175" xfId="10" applyFont="1" applyFill="1" applyBorder="1" applyAlignment="1" applyProtection="1">
      <alignment horizontal="center" vertical="center"/>
      <protection locked="0"/>
    </xf>
    <xf numFmtId="0" fontId="3" fillId="16" borderId="178" xfId="10" applyFill="1" applyBorder="1" applyAlignment="1">
      <alignment horizontal="center" vertical="center"/>
    </xf>
    <xf numFmtId="0" fontId="3" fillId="16" borderId="179" xfId="10" applyFill="1" applyBorder="1" applyAlignment="1">
      <alignment horizontal="center" vertical="center"/>
    </xf>
    <xf numFmtId="0" fontId="3" fillId="16" borderId="180" xfId="10" applyFill="1" applyBorder="1" applyAlignment="1">
      <alignment horizontal="center" vertical="center"/>
    </xf>
    <xf numFmtId="0" fontId="158" fillId="16" borderId="0" xfId="10" applyFont="1" applyFill="1" applyAlignment="1">
      <alignment vertical="center"/>
    </xf>
    <xf numFmtId="0" fontId="147" fillId="16" borderId="182" xfId="10" applyFont="1" applyFill="1" applyBorder="1" applyAlignment="1" applyProtection="1">
      <alignment horizontal="center" vertical="center"/>
      <protection locked="0"/>
    </xf>
    <xf numFmtId="0" fontId="153" fillId="16" borderId="183" xfId="10" applyFont="1" applyFill="1" applyBorder="1" applyAlignment="1" applyProtection="1">
      <alignment horizontal="center" vertical="center"/>
      <protection locked="0"/>
    </xf>
    <xf numFmtId="0" fontId="153" fillId="16" borderId="184" xfId="10" applyFont="1" applyFill="1" applyBorder="1" applyAlignment="1" applyProtection="1">
      <alignment horizontal="center" vertical="center"/>
      <protection locked="0"/>
    </xf>
    <xf numFmtId="3" fontId="147" fillId="21" borderId="182" xfId="10" applyNumberFormat="1" applyFont="1" applyFill="1" applyBorder="1" applyAlignment="1">
      <alignment vertical="center"/>
    </xf>
    <xf numFmtId="3" fontId="3" fillId="16" borderId="183" xfId="10" applyNumberFormat="1" applyFill="1" applyBorder="1" applyAlignment="1">
      <alignment vertical="center"/>
    </xf>
    <xf numFmtId="3" fontId="3" fillId="16" borderId="184" xfId="10" applyNumberFormat="1" applyFill="1" applyBorder="1" applyAlignment="1">
      <alignment vertical="center"/>
    </xf>
    <xf numFmtId="0" fontId="155" fillId="16" borderId="177" xfId="10" applyFont="1" applyFill="1" applyBorder="1" applyAlignment="1">
      <alignment horizontal="right"/>
    </xf>
    <xf numFmtId="3" fontId="147" fillId="21" borderId="173" xfId="10" applyNumberFormat="1" applyFont="1" applyFill="1" applyBorder="1" applyAlignment="1" applyProtection="1">
      <alignment vertical="center"/>
      <protection locked="0"/>
    </xf>
    <xf numFmtId="3" fontId="3" fillId="16" borderId="174" xfId="10" applyNumberFormat="1" applyFill="1" applyBorder="1" applyAlignment="1" applyProtection="1">
      <alignment vertical="center"/>
      <protection locked="0"/>
    </xf>
    <xf numFmtId="3" fontId="3" fillId="16" borderId="175" xfId="10" applyNumberFormat="1" applyFill="1" applyBorder="1" applyAlignment="1" applyProtection="1">
      <alignment vertical="center"/>
      <protection locked="0"/>
    </xf>
    <xf numFmtId="3" fontId="3" fillId="16" borderId="178" xfId="10" applyNumberFormat="1" applyFill="1" applyBorder="1" applyAlignment="1" applyProtection="1">
      <alignment vertical="center"/>
      <protection locked="0"/>
    </xf>
    <xf numFmtId="3" fontId="3" fillId="16" borderId="179" xfId="10" applyNumberFormat="1" applyFill="1" applyBorder="1" applyAlignment="1" applyProtection="1">
      <alignment vertical="center"/>
      <protection locked="0"/>
    </xf>
    <xf numFmtId="3" fontId="3" fillId="16" borderId="180" xfId="10" applyNumberFormat="1" applyFill="1" applyBorder="1" applyAlignment="1" applyProtection="1">
      <alignment vertical="center"/>
      <protection locked="0"/>
    </xf>
    <xf numFmtId="0" fontId="2" fillId="21" borderId="0" xfId="10" applyFont="1" applyFill="1" applyAlignment="1">
      <alignment vertical="center"/>
    </xf>
    <xf numFmtId="0" fontId="31" fillId="16" borderId="0" xfId="10" applyFont="1" applyFill="1" applyAlignment="1">
      <alignment horizontal="right"/>
    </xf>
    <xf numFmtId="0" fontId="3" fillId="16" borderId="176" xfId="10" applyFill="1" applyBorder="1" applyAlignment="1">
      <alignment vertical="center"/>
    </xf>
    <xf numFmtId="0" fontId="11" fillId="16" borderId="0" xfId="10" applyFont="1" applyFill="1" applyAlignment="1">
      <alignment horizontal="right" vertical="center"/>
    </xf>
    <xf numFmtId="0" fontId="11" fillId="21" borderId="0" xfId="10" applyFont="1" applyFill="1" applyAlignment="1">
      <alignment vertical="center"/>
    </xf>
    <xf numFmtId="0" fontId="155" fillId="21" borderId="0" xfId="10" applyFont="1" applyFill="1" applyAlignment="1">
      <alignment horizontal="left"/>
    </xf>
    <xf numFmtId="4" fontId="147" fillId="16" borderId="173" xfId="10" applyNumberFormat="1" applyFont="1" applyFill="1" applyBorder="1" applyAlignment="1">
      <alignment vertical="center"/>
    </xf>
    <xf numFmtId="4" fontId="153" fillId="16" borderId="174" xfId="10" applyNumberFormat="1" applyFont="1" applyFill="1" applyBorder="1" applyAlignment="1">
      <alignment vertical="center"/>
    </xf>
    <xf numFmtId="4" fontId="153" fillId="16" borderId="175" xfId="10" applyNumberFormat="1" applyFont="1" applyFill="1" applyBorder="1" applyAlignment="1">
      <alignment vertical="center"/>
    </xf>
    <xf numFmtId="0" fontId="3" fillId="16" borderId="178" xfId="10" applyFill="1" applyBorder="1" applyAlignment="1">
      <alignment vertical="center"/>
    </xf>
    <xf numFmtId="0" fontId="3" fillId="16" borderId="179" xfId="10" applyFill="1" applyBorder="1" applyAlignment="1">
      <alignment vertical="center"/>
    </xf>
    <xf numFmtId="0" fontId="3" fillId="16" borderId="180" xfId="10" applyFill="1" applyBorder="1" applyAlignment="1">
      <alignment vertical="center"/>
    </xf>
    <xf numFmtId="0" fontId="155" fillId="21" borderId="176" xfId="10" applyFont="1" applyFill="1" applyBorder="1" applyAlignment="1">
      <alignment horizontal="right"/>
    </xf>
    <xf numFmtId="0" fontId="155" fillId="16" borderId="176" xfId="10" applyFont="1" applyFill="1" applyBorder="1" applyAlignment="1">
      <alignment horizontal="right"/>
    </xf>
    <xf numFmtId="0" fontId="3" fillId="38" borderId="173" xfId="10" applyFill="1" applyBorder="1"/>
    <xf numFmtId="0" fontId="3" fillId="38" borderId="174" xfId="10" applyFill="1" applyBorder="1"/>
    <xf numFmtId="0" fontId="155" fillId="38" borderId="174" xfId="10" applyFont="1" applyFill="1" applyBorder="1" applyAlignment="1">
      <alignment horizontal="center"/>
    </xf>
    <xf numFmtId="0" fontId="3" fillId="39" borderId="176" xfId="10" applyFill="1" applyBorder="1"/>
    <xf numFmtId="0" fontId="3" fillId="38" borderId="0" xfId="10" applyFill="1"/>
    <xf numFmtId="0" fontId="3" fillId="38" borderId="177" xfId="10" applyFill="1" applyBorder="1"/>
    <xf numFmtId="0" fontId="3" fillId="39" borderId="0" xfId="10" applyFill="1" applyAlignment="1">
      <alignment vertical="center"/>
    </xf>
    <xf numFmtId="0" fontId="3" fillId="38" borderId="0" xfId="10" applyFill="1" applyAlignment="1">
      <alignment vertical="center"/>
    </xf>
    <xf numFmtId="0" fontId="3" fillId="38" borderId="177" xfId="10" applyFill="1" applyBorder="1" applyAlignment="1">
      <alignment vertical="center"/>
    </xf>
    <xf numFmtId="0" fontId="3" fillId="21" borderId="181" xfId="10" applyFill="1" applyBorder="1"/>
    <xf numFmtId="0" fontId="3" fillId="16" borderId="181" xfId="10" applyFill="1" applyBorder="1"/>
    <xf numFmtId="0" fontId="2" fillId="39" borderId="0" xfId="10" applyFont="1" applyFill="1" applyAlignment="1">
      <alignment vertical="center"/>
    </xf>
    <xf numFmtId="0" fontId="3" fillId="39" borderId="177" xfId="10" applyFill="1" applyBorder="1" applyAlignment="1">
      <alignment vertical="center"/>
    </xf>
    <xf numFmtId="0" fontId="3" fillId="38" borderId="179" xfId="10" applyFill="1" applyBorder="1" applyAlignment="1">
      <alignment vertical="center"/>
    </xf>
    <xf numFmtId="0" fontId="3" fillId="38" borderId="180" xfId="10" applyFill="1" applyBorder="1" applyAlignment="1">
      <alignment vertical="center"/>
    </xf>
    <xf numFmtId="0" fontId="155" fillId="39" borderId="173" xfId="10" applyFont="1" applyFill="1" applyBorder="1" applyAlignment="1">
      <alignment horizontal="right" vertical="center"/>
    </xf>
    <xf numFmtId="0" fontId="155" fillId="38" borderId="174" xfId="10" applyFont="1" applyFill="1" applyBorder="1" applyAlignment="1">
      <alignment horizontal="right"/>
    </xf>
    <xf numFmtId="0" fontId="155" fillId="38" borderId="175" xfId="10" applyFont="1" applyFill="1" applyBorder="1" applyAlignment="1">
      <alignment horizontal="right"/>
    </xf>
    <xf numFmtId="0" fontId="76" fillId="39" borderId="174" xfId="10" applyFont="1" applyFill="1" applyBorder="1" applyAlignment="1">
      <alignment horizontal="left"/>
    </xf>
    <xf numFmtId="0" fontId="42" fillId="38" borderId="174" xfId="10" applyFont="1" applyFill="1" applyBorder="1" applyAlignment="1">
      <alignment horizontal="left"/>
    </xf>
    <xf numFmtId="0" fontId="155" fillId="39" borderId="176" xfId="10" applyFont="1" applyFill="1" applyBorder="1" applyAlignment="1">
      <alignment horizontal="right" vertical="center"/>
    </xf>
    <xf numFmtId="0" fontId="3" fillId="38" borderId="176" xfId="10" applyFill="1" applyBorder="1"/>
    <xf numFmtId="0" fontId="73" fillId="38" borderId="0" xfId="10" applyFont="1" applyFill="1" applyAlignment="1">
      <alignment horizontal="left" vertical="center"/>
    </xf>
    <xf numFmtId="0" fontId="158" fillId="38" borderId="0" xfId="10" applyFont="1" applyFill="1" applyAlignment="1">
      <alignment horizontal="left" vertical="center"/>
    </xf>
    <xf numFmtId="3" fontId="147" fillId="16" borderId="173" xfId="10" applyNumberFormat="1" applyFont="1" applyFill="1" applyBorder="1" applyAlignment="1">
      <alignment vertical="center"/>
    </xf>
    <xf numFmtId="0" fontId="2" fillId="38" borderId="0" xfId="10" applyFont="1" applyFill="1" applyAlignment="1">
      <alignment vertical="center"/>
    </xf>
    <xf numFmtId="3" fontId="147" fillId="21" borderId="188" xfId="10" applyNumberFormat="1" applyFont="1" applyFill="1" applyBorder="1" applyAlignment="1">
      <alignment horizontal="right" vertical="center"/>
    </xf>
    <xf numFmtId="3" fontId="147" fillId="16" borderId="189" xfId="10" applyNumberFormat="1" applyFont="1" applyFill="1" applyBorder="1" applyAlignment="1">
      <alignment horizontal="right" vertical="center"/>
    </xf>
    <xf numFmtId="3" fontId="147" fillId="16" borderId="190" xfId="10" applyNumberFormat="1" applyFont="1" applyFill="1" applyBorder="1" applyAlignment="1">
      <alignment horizontal="right" vertical="center"/>
    </xf>
    <xf numFmtId="3" fontId="147" fillId="16" borderId="111" xfId="10" applyNumberFormat="1" applyFont="1" applyFill="1" applyBorder="1" applyAlignment="1">
      <alignment horizontal="right" vertical="center"/>
    </xf>
    <xf numFmtId="3" fontId="147" fillId="16" borderId="112" xfId="10" applyNumberFormat="1" applyFont="1" applyFill="1" applyBorder="1" applyAlignment="1">
      <alignment horizontal="right" vertical="center"/>
    </xf>
    <xf numFmtId="3" fontId="147" fillId="16" borderId="141" xfId="10" applyNumberFormat="1" applyFont="1" applyFill="1" applyBorder="1" applyAlignment="1">
      <alignment horizontal="right" vertical="center"/>
    </xf>
    <xf numFmtId="0" fontId="155" fillId="39" borderId="0" xfId="10" applyFont="1" applyFill="1" applyAlignment="1">
      <alignment vertical="center"/>
    </xf>
    <xf numFmtId="0" fontId="31" fillId="38" borderId="0" xfId="10" applyFont="1" applyFill="1" applyAlignment="1">
      <alignment vertical="center"/>
    </xf>
    <xf numFmtId="0" fontId="31" fillId="38" borderId="162" xfId="10" applyFont="1" applyFill="1" applyBorder="1" applyAlignment="1">
      <alignment vertical="center"/>
    </xf>
    <xf numFmtId="4" fontId="147" fillId="16" borderId="185" xfId="10" applyNumberFormat="1" applyFont="1" applyFill="1" applyBorder="1" applyAlignment="1">
      <alignment vertical="center"/>
    </xf>
    <xf numFmtId="4" fontId="153" fillId="16" borderId="186" xfId="10" applyNumberFormat="1" applyFont="1" applyFill="1" applyBorder="1" applyAlignment="1">
      <alignment vertical="center"/>
    </xf>
    <xf numFmtId="4" fontId="153" fillId="16" borderId="187" xfId="10" applyNumberFormat="1" applyFont="1" applyFill="1" applyBorder="1" applyAlignment="1">
      <alignment vertical="center"/>
    </xf>
    <xf numFmtId="0" fontId="2" fillId="38" borderId="176" xfId="10" applyFont="1" applyFill="1" applyBorder="1" applyAlignment="1">
      <alignment vertical="center"/>
    </xf>
    <xf numFmtId="0" fontId="3" fillId="38" borderId="178" xfId="10" applyFill="1" applyBorder="1"/>
    <xf numFmtId="0" fontId="3" fillId="38" borderId="179" xfId="10" applyFill="1" applyBorder="1"/>
    <xf numFmtId="0" fontId="73" fillId="39" borderId="0" xfId="10" applyFont="1" applyFill="1" applyAlignment="1">
      <alignment vertical="center"/>
    </xf>
    <xf numFmtId="0" fontId="73" fillId="38" borderId="0" xfId="10" applyFont="1" applyFill="1" applyAlignment="1">
      <alignment vertical="center"/>
    </xf>
    <xf numFmtId="0" fontId="155" fillId="39" borderId="161" xfId="10" applyFont="1" applyFill="1" applyBorder="1" applyAlignment="1">
      <alignment vertical="center"/>
    </xf>
    <xf numFmtId="0" fontId="3" fillId="38" borderId="162" xfId="10" applyFill="1" applyBorder="1" applyAlignment="1">
      <alignment vertical="center"/>
    </xf>
    <xf numFmtId="0" fontId="58" fillId="39" borderId="161" xfId="10" applyFont="1" applyFill="1" applyBorder="1" applyAlignment="1">
      <alignment vertical="center"/>
    </xf>
    <xf numFmtId="14" fontId="147" fillId="21" borderId="188" xfId="10" applyNumberFormat="1" applyFont="1" applyFill="1" applyBorder="1" applyAlignment="1" applyProtection="1">
      <alignment horizontal="center" vertical="center"/>
      <protection locked="0"/>
    </xf>
    <xf numFmtId="0" fontId="3" fillId="16" borderId="189" xfId="10" applyFill="1" applyBorder="1" applyAlignment="1" applyProtection="1">
      <alignment horizontal="center" vertical="center"/>
      <protection locked="0"/>
    </xf>
    <xf numFmtId="0" fontId="3" fillId="16" borderId="190" xfId="10" applyFill="1" applyBorder="1" applyAlignment="1" applyProtection="1">
      <alignment horizontal="center" vertical="center"/>
      <protection locked="0"/>
    </xf>
    <xf numFmtId="0" fontId="3" fillId="16" borderId="111" xfId="10" applyFill="1" applyBorder="1" applyAlignment="1" applyProtection="1">
      <alignment horizontal="center" vertical="center"/>
      <protection locked="0"/>
    </xf>
    <xf numFmtId="0" fontId="3" fillId="16" borderId="112" xfId="10" applyFill="1" applyBorder="1" applyAlignment="1" applyProtection="1">
      <alignment horizontal="center" vertical="center"/>
      <protection locked="0"/>
    </xf>
    <xf numFmtId="0" fontId="3" fillId="16" borderId="141" xfId="10" applyFill="1" applyBorder="1" applyAlignment="1" applyProtection="1">
      <alignment horizontal="center" vertical="center"/>
      <protection locked="0"/>
    </xf>
    <xf numFmtId="0" fontId="159" fillId="21" borderId="0" xfId="10" applyFont="1" applyFill="1" applyAlignment="1">
      <alignment horizontal="center"/>
    </xf>
    <xf numFmtId="0" fontId="2" fillId="16" borderId="0" xfId="10" applyFont="1" applyFill="1"/>
    <xf numFmtId="0" fontId="156" fillId="21" borderId="0" xfId="10" applyFont="1" applyFill="1" applyAlignment="1">
      <alignment horizontal="center"/>
    </xf>
    <xf numFmtId="0" fontId="36" fillId="21" borderId="176" xfId="10" applyFont="1" applyFill="1" applyBorder="1" applyAlignment="1">
      <alignment vertical="center" wrapText="1"/>
    </xf>
    <xf numFmtId="0" fontId="3" fillId="16" borderId="176" xfId="10" applyFill="1" applyBorder="1" applyAlignment="1">
      <alignment wrapText="1"/>
    </xf>
    <xf numFmtId="0" fontId="36" fillId="16" borderId="188" xfId="10" applyFont="1" applyFill="1" applyBorder="1" applyAlignment="1" applyProtection="1">
      <alignment horizontal="center" wrapText="1"/>
      <protection locked="0"/>
    </xf>
    <xf numFmtId="0" fontId="36" fillId="16" borderId="189" xfId="10" applyFont="1" applyFill="1" applyBorder="1" applyAlignment="1" applyProtection="1">
      <alignment horizontal="center"/>
      <protection locked="0"/>
    </xf>
    <xf numFmtId="0" fontId="36" fillId="16" borderId="190" xfId="10" applyFont="1" applyFill="1" applyBorder="1" applyAlignment="1" applyProtection="1">
      <alignment horizontal="center"/>
      <protection locked="0"/>
    </xf>
    <xf numFmtId="0" fontId="36" fillId="16" borderId="135" xfId="10" applyFont="1" applyFill="1" applyBorder="1" applyAlignment="1" applyProtection="1">
      <alignment horizontal="center"/>
      <protection locked="0"/>
    </xf>
    <xf numFmtId="0" fontId="36" fillId="16" borderId="0" xfId="10" applyFont="1" applyFill="1" applyAlignment="1" applyProtection="1">
      <alignment horizontal="center"/>
      <protection locked="0"/>
    </xf>
    <xf numFmtId="0" fontId="36" fillId="16" borderId="110" xfId="10" applyFont="1" applyFill="1" applyBorder="1" applyAlignment="1" applyProtection="1">
      <alignment horizontal="center"/>
      <protection locked="0"/>
    </xf>
    <xf numFmtId="0" fontId="36" fillId="16" borderId="111" xfId="10" applyFont="1" applyFill="1" applyBorder="1" applyAlignment="1" applyProtection="1">
      <alignment horizontal="center"/>
      <protection locked="0"/>
    </xf>
    <xf numFmtId="0" fontId="36" fillId="16" borderId="112" xfId="10" applyFont="1" applyFill="1" applyBorder="1" applyAlignment="1" applyProtection="1">
      <alignment horizontal="center"/>
      <protection locked="0"/>
    </xf>
    <xf numFmtId="0" fontId="36" fillId="16" borderId="141" xfId="10" applyFont="1" applyFill="1" applyBorder="1" applyAlignment="1" applyProtection="1">
      <alignment horizontal="center"/>
      <protection locked="0"/>
    </xf>
    <xf numFmtId="0" fontId="11" fillId="16" borderId="0" xfId="10" applyFont="1" applyFill="1" applyAlignment="1">
      <alignment horizontal="center"/>
    </xf>
    <xf numFmtId="0" fontId="58" fillId="21" borderId="0" xfId="10" applyFont="1" applyFill="1" applyAlignment="1">
      <alignment horizontal="left"/>
    </xf>
    <xf numFmtId="0" fontId="3" fillId="26" borderId="0" xfId="10" applyFill="1"/>
    <xf numFmtId="0" fontId="33" fillId="20" borderId="0" xfId="10" applyFont="1" applyFill="1" applyAlignment="1">
      <alignment horizontal="center" vertical="center"/>
    </xf>
    <xf numFmtId="0" fontId="3" fillId="20" borderId="0" xfId="10" applyFill="1" applyAlignment="1">
      <alignment horizontal="center" vertical="center"/>
    </xf>
    <xf numFmtId="0" fontId="6" fillId="3" borderId="28" xfId="10" applyFont="1" applyFill="1" applyBorder="1" applyAlignment="1">
      <alignment vertical="center"/>
    </xf>
    <xf numFmtId="0" fontId="3" fillId="0" borderId="27" xfId="10" applyBorder="1" applyAlignment="1">
      <alignment vertical="center"/>
    </xf>
    <xf numFmtId="0" fontId="6" fillId="3" borderId="27" xfId="10" applyFont="1" applyFill="1" applyBorder="1" applyAlignment="1">
      <alignment horizontal="center" vertical="center"/>
    </xf>
    <xf numFmtId="0" fontId="2" fillId="0" borderId="27" xfId="10" applyFont="1" applyBorder="1" applyAlignment="1">
      <alignment vertical="center"/>
    </xf>
    <xf numFmtId="0" fontId="2" fillId="0" borderId="36" xfId="10" applyFont="1" applyBorder="1" applyAlignment="1">
      <alignment vertical="center"/>
    </xf>
    <xf numFmtId="0" fontId="5" fillId="3" borderId="10" xfId="10" applyFont="1" applyFill="1" applyBorder="1" applyAlignment="1">
      <alignment vertical="center"/>
    </xf>
    <xf numFmtId="0" fontId="3" fillId="0" borderId="93" xfId="10" applyBorder="1" applyAlignment="1">
      <alignment vertical="center"/>
    </xf>
    <xf numFmtId="168" fontId="3" fillId="3" borderId="93" xfId="10" applyNumberFormat="1" applyFill="1" applyBorder="1" applyAlignment="1">
      <alignment horizontal="center" vertical="center"/>
    </xf>
    <xf numFmtId="0" fontId="3" fillId="0" borderId="1" xfId="10" applyBorder="1" applyAlignment="1">
      <alignment vertical="center"/>
    </xf>
    <xf numFmtId="168" fontId="5" fillId="3" borderId="93" xfId="10" applyNumberFormat="1" applyFont="1" applyFill="1" applyBorder="1" applyAlignment="1">
      <alignment horizontal="center" vertical="center"/>
    </xf>
    <xf numFmtId="0" fontId="5" fillId="3" borderId="11" xfId="10" applyFont="1" applyFill="1" applyBorder="1" applyAlignment="1">
      <alignment vertical="center"/>
    </xf>
    <xf numFmtId="0" fontId="3" fillId="0" borderId="3" xfId="10" applyBorder="1" applyAlignment="1">
      <alignment vertical="center"/>
    </xf>
    <xf numFmtId="14" fontId="5" fillId="2" borderId="3" xfId="10" applyNumberFormat="1" applyFont="1" applyFill="1" applyBorder="1" applyAlignment="1" applyProtection="1">
      <alignment horizontal="center" vertical="center"/>
      <protection locked="0"/>
    </xf>
    <xf numFmtId="14" fontId="3" fillId="0" borderId="3" xfId="10" applyNumberFormat="1" applyBorder="1" applyAlignment="1">
      <alignment vertical="center"/>
    </xf>
    <xf numFmtId="14" fontId="3" fillId="0" borderId="9" xfId="10" applyNumberFormat="1" applyBorder="1" applyAlignment="1">
      <alignment vertical="center"/>
    </xf>
    <xf numFmtId="0" fontId="67" fillId="25" borderId="0" xfId="10" applyFont="1" applyFill="1" applyAlignment="1">
      <alignment horizontal="center" vertical="center" wrapText="1"/>
    </xf>
    <xf numFmtId="0" fontId="3" fillId="0" borderId="0" xfId="10" applyAlignment="1">
      <alignment horizontal="center" vertical="center" wrapText="1"/>
    </xf>
    <xf numFmtId="0" fontId="121" fillId="3" borderId="0" xfId="10" applyFont="1" applyFill="1" applyAlignment="1">
      <alignment vertical="center" wrapText="1"/>
    </xf>
    <xf numFmtId="0" fontId="76" fillId="0" borderId="0" xfId="10" applyFont="1" applyAlignment="1">
      <alignment vertical="center" wrapText="1"/>
    </xf>
    <xf numFmtId="165" fontId="29" fillId="20" borderId="0" xfId="10" applyNumberFormat="1" applyFont="1" applyFill="1" applyAlignment="1">
      <alignment horizontal="center" vertical="center"/>
    </xf>
    <xf numFmtId="0" fontId="36" fillId="20" borderId="0" xfId="10" applyFont="1" applyFill="1" applyAlignment="1">
      <alignment horizontal="center" vertical="center"/>
    </xf>
    <xf numFmtId="0" fontId="15" fillId="3" borderId="0" xfId="10" applyFont="1" applyFill="1" applyAlignment="1">
      <alignment vertical="center" wrapText="1"/>
    </xf>
    <xf numFmtId="0" fontId="11" fillId="0" borderId="0" xfId="10" applyFont="1" applyAlignment="1">
      <alignment vertical="center" wrapText="1"/>
    </xf>
    <xf numFmtId="0" fontId="29" fillId="20" borderId="0" xfId="10" applyFont="1" applyFill="1" applyAlignment="1">
      <alignment horizontal="left" vertical="center" wrapText="1"/>
    </xf>
    <xf numFmtId="0" fontId="11" fillId="0" borderId="0" xfId="10" applyFont="1" applyAlignment="1">
      <alignment horizontal="left" vertical="center" wrapText="1"/>
    </xf>
    <xf numFmtId="0" fontId="72" fillId="17" borderId="0" xfId="0" applyFont="1" applyFill="1" applyProtection="1">
      <protection locked="0"/>
    </xf>
    <xf numFmtId="0" fontId="0" fillId="17" borderId="0" xfId="0" applyFill="1" applyProtection="1">
      <protection locked="0"/>
    </xf>
    <xf numFmtId="0" fontId="72" fillId="24" borderId="0" xfId="0" applyFont="1" applyFill="1" applyProtection="1">
      <protection locked="0"/>
    </xf>
    <xf numFmtId="0" fontId="0" fillId="0" borderId="0" xfId="0" applyProtection="1">
      <protection locked="0"/>
    </xf>
    <xf numFmtId="0" fontId="2" fillId="24" borderId="0" xfId="0" applyFont="1" applyFill="1"/>
    <xf numFmtId="0" fontId="3" fillId="24" borderId="0" xfId="0" applyFont="1" applyFill="1" applyAlignment="1">
      <alignment wrapText="1"/>
    </xf>
  </cellXfs>
  <cellStyles count="13">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9" xr:uid="{00000000-0005-0000-0000-000005000000}"/>
    <cellStyle name="Hypertextový odkaz_ZAKL_DATA" xfId="6" xr:uid="{00000000-0005-0000-0000-000006000000}"/>
    <cellStyle name="Normální" xfId="0" builtinId="0"/>
    <cellStyle name="normální 2" xfId="8" xr:uid="{00000000-0005-0000-0000-000009000000}"/>
    <cellStyle name="Normální 3" xfId="7" xr:uid="{00000000-0005-0000-0000-00000A000000}"/>
    <cellStyle name="Normální 4" xfId="10" xr:uid="{00000000-0005-0000-0000-00000B000000}"/>
    <cellStyle name="Normální 5" xfId="11" xr:uid="{00000000-0005-0000-0000-00000C000000}"/>
    <cellStyle name="Špatně" xfId="12" builtinId="27"/>
  </cellStyles>
  <dxfs count="164">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rgb="FF000000"/>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numFmt numFmtId="3" formatCode="#,##0"/>
      <protection locked="0" hidden="0"/>
    </dxf>
    <dxf>
      <font>
        <b val="0"/>
        <i val="0"/>
        <strike val="0"/>
        <condense val="0"/>
        <extend val="0"/>
        <outline val="0"/>
        <shadow val="0"/>
        <u val="none"/>
        <vertAlign val="baseline"/>
        <sz val="10"/>
        <color auto="1"/>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3" formatCode="#,##0"/>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numFmt numFmtId="0" formatCode="General"/>
      <protection locked="0" hidden="0"/>
    </dxf>
    <dxf>
      <font>
        <strike val="0"/>
        <outline val="0"/>
        <shadow val="0"/>
        <u val="none"/>
        <vertAlign val="baseline"/>
        <sz val="10"/>
        <name val="Calibri"/>
        <scheme val="minor"/>
      </font>
      <protection locked="0" hidden="0"/>
    </dxf>
    <dxf>
      <font>
        <b val="0"/>
        <i val="0"/>
        <strike val="0"/>
        <condense val="0"/>
        <extend val="0"/>
        <outline val="0"/>
        <shadow val="0"/>
        <u val="none"/>
        <vertAlign val="baseline"/>
        <sz val="10"/>
        <color theme="1"/>
        <name val="Calibri"/>
        <scheme val="minor"/>
      </font>
      <protection locked="0"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mruColors>
      <color rgb="FFFFFF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_2024" RootElement="Pisemnost" SchemaID="Schema3"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tyles" Target="styles.xml"/><Relationship Id="rId50" Type="http://schemas.openxmlformats.org/officeDocument/2006/relationships/xmlMaps" Target="xmlMap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5817BF16-B32C-4CF0-8B69-5BA54E4A46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6200"/>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6056" cy="10075545"/>
    <xdr:pic>
      <xdr:nvPicPr>
        <xdr:cNvPr id="3" name="Obrázek 2">
          <a:extLst>
            <a:ext uri="{FF2B5EF4-FFF2-40B4-BE49-F238E27FC236}">
              <a16:creationId xmlns:a16="http://schemas.microsoft.com/office/drawing/2014/main" id="{30CB2CAC-0EE6-4A77-B6BA-92F2264976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100755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29</xdr:col>
      <xdr:colOff>0</xdr:colOff>
      <xdr:row>0</xdr:row>
      <xdr:rowOff>28575</xdr:rowOff>
    </xdr:from>
    <xdr:to>
      <xdr:col>31</xdr:col>
      <xdr:colOff>142875</xdr:colOff>
      <xdr:row>3</xdr:row>
      <xdr:rowOff>101099</xdr:rowOff>
    </xdr:to>
    <xdr:pic>
      <xdr:nvPicPr>
        <xdr:cNvPr id="2" name="Obrázek 1">
          <a:extLst>
            <a:ext uri="{FF2B5EF4-FFF2-40B4-BE49-F238E27FC236}">
              <a16:creationId xmlns:a16="http://schemas.microsoft.com/office/drawing/2014/main" id="{6B8D8A8B-3F73-4F63-8DC2-0A89FD871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28575"/>
          <a:ext cx="628650" cy="624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92281</xdr:colOff>
      <xdr:row>0</xdr:row>
      <xdr:rowOff>38100</xdr:rowOff>
    </xdr:from>
    <xdr:to>
      <xdr:col>40</xdr:col>
      <xdr:colOff>114300</xdr:colOff>
      <xdr:row>2</xdr:row>
      <xdr:rowOff>152400</xdr:rowOff>
    </xdr:to>
    <xdr:pic>
      <xdr:nvPicPr>
        <xdr:cNvPr id="2" name="Obrázek 1">
          <a:extLst>
            <a:ext uri="{FF2B5EF4-FFF2-40B4-BE49-F238E27FC236}">
              <a16:creationId xmlns:a16="http://schemas.microsoft.com/office/drawing/2014/main" id="{9E72B28F-190F-4DBD-A6A1-CD5272D2D4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6006" y="38100"/>
          <a:ext cx="507794"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4" y="28575"/>
          <a:ext cx="54292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4" y="28575"/>
          <a:ext cx="54292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xdr:colOff>
      <xdr:row>0</xdr:row>
      <xdr:rowOff>114300</xdr:rowOff>
    </xdr:from>
    <xdr:ext cx="2628900" cy="582179"/>
    <xdr:pic>
      <xdr:nvPicPr>
        <xdr:cNvPr id="2" name="Picture 3">
          <a:extLst>
            <a:ext uri="{FF2B5EF4-FFF2-40B4-BE49-F238E27FC236}">
              <a16:creationId xmlns:a16="http://schemas.microsoft.com/office/drawing/2014/main" id="{F2F3FF87-C6CA-4DF8-AA35-2F7DA0AB27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4300"/>
          <a:ext cx="2628900" cy="582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114301</xdr:colOff>
      <xdr:row>61</xdr:row>
      <xdr:rowOff>80894</xdr:rowOff>
    </xdr:from>
    <xdr:ext cx="1466850" cy="433456"/>
    <xdr:pic>
      <xdr:nvPicPr>
        <xdr:cNvPr id="3" name="Obrázek 2">
          <a:extLst>
            <a:ext uri="{FF2B5EF4-FFF2-40B4-BE49-F238E27FC236}">
              <a16:creationId xmlns:a16="http://schemas.microsoft.com/office/drawing/2014/main" id="{8C2906C8-458B-4DED-9A8F-1B91D07BF0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076" y="11625194"/>
          <a:ext cx="1466850" cy="4334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114301</xdr:colOff>
      <xdr:row>61</xdr:row>
      <xdr:rowOff>80894</xdr:rowOff>
    </xdr:from>
    <xdr:ext cx="1466850" cy="433456"/>
    <xdr:pic>
      <xdr:nvPicPr>
        <xdr:cNvPr id="2" name="Obrázek 1">
          <a:extLst>
            <a:ext uri="{FF2B5EF4-FFF2-40B4-BE49-F238E27FC236}">
              <a16:creationId xmlns:a16="http://schemas.microsoft.com/office/drawing/2014/main" id="{656FC610-EAEE-4DFB-AF0A-31FB771337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11625194"/>
          <a:ext cx="1466850" cy="43345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NAHRANI/DzPVZP21_xml.xlsx" TargetMode="External"/><Relationship Id="rId1" Type="http://schemas.openxmlformats.org/officeDocument/2006/relationships/externalLinkPath" Target="/DATA/PRIZNANI/TODO/NAHRANI/DzPVZP21_xml.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Obory%20&#269;innosti"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Finan&#269;n&#237;%20&#250;&#345;ady"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DzPPO21_xml.xlsx" TargetMode="External"/><Relationship Id="rId1" Type="http://schemas.openxmlformats.org/officeDocument/2006/relationships/externalLinkPath" Target="/DATA/PRIZNANI/DzPPO21_xm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ATA\PRIZNANI\TODO\ROZPRACOVANE\VZP\DzPUCZ25_xml.xlsx" TargetMode="External"/><Relationship Id="rId1" Type="http://schemas.openxmlformats.org/officeDocument/2006/relationships/externalLinkPath" Target="DzPUCZ25_xm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vit-my.sharepoint.com/Data/NAHRANI/PRIZNANI/DzPPO14_xm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NAHRANI\PRIZNANI\DzPFOB15_xml.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DATA\PRIZNANI\TODO\ROZPRACOVANE\DzPVZP25_xml_CSSZ.xlsx" TargetMode="External"/><Relationship Id="rId1" Type="http://schemas.openxmlformats.org/officeDocument/2006/relationships/externalLinkPath" Target="DzPVZP25_xml_CSSZ.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NAHRANI/DzPFOB21_xml.xlsx" TargetMode="External"/><Relationship Id="rId1" Type="http://schemas.openxmlformats.org/officeDocument/2006/relationships/externalLinkPath" Target="/DATA/PRIZNANI/TODO/NAHRANI/DzPFOB21_xm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ochman\Desktop\2018_01%20formulare\DzPUCZ17_xm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ata\NAHRANI\PRIZNANI\DzPPO14_xml.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NAHRANI/TODO/DzPUCZ23_xml_z.xlsx" TargetMode="External"/><Relationship Id="rId1" Type="http://schemas.openxmlformats.org/officeDocument/2006/relationships/externalLinkPath" Target="/DATA/PRIZNANI/TODO/NAHRANI/TODO/DzPUCZ23_xml_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ory činnosti"/>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ční úřady"/>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 val="Přenos_CSSZ"/>
      <sheetName val="CSSZ"/>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Přenos_CSSZ"/>
    </sheetNames>
    <sheetDataSet>
      <sheetData sheetId="0">
        <row r="3">
          <cell r="B3" t="str">
            <v>HLAVNÍ MĚSTO PRAHA</v>
          </cell>
          <cell r="H3" t="str">
            <v>PRAHA 1</v>
          </cell>
          <cell r="J3" t="str">
            <v>ČESKÁ REPUBLIKA</v>
          </cell>
          <cell r="Q3" t="str">
            <v>Účetnické a auditorské činnosti; daňové poradenství</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10</v>
          </cell>
          <cell r="J4" t="str">
            <v>Afghánská islámská republika</v>
          </cell>
          <cell r="Q4" t="str">
            <v/>
          </cell>
          <cell r="T4" t="str">
            <v>Činnosti vedení podniků</v>
          </cell>
          <cell r="W4" t="str">
            <v>Činnosti vedení podniků</v>
          </cell>
          <cell r="Z4" t="str">
            <v>Činnosti vedení podniků</v>
          </cell>
        </row>
        <row r="5">
          <cell r="B5" t="str">
            <v>JIHOČESKÝ KRAJ</v>
          </cell>
          <cell r="H5" t="str">
            <v/>
          </cell>
          <cell r="J5" t="str">
            <v>Provincie Alandy</v>
          </cell>
          <cell r="Q5" t="str">
            <v/>
          </cell>
          <cell r="T5" t="str">
            <v/>
          </cell>
          <cell r="W5" t="str">
            <v/>
          </cell>
          <cell r="Z5" t="str">
            <v/>
          </cell>
        </row>
        <row r="6">
          <cell r="B6" t="str">
            <v>PLZEŇSKÝ KRAJ</v>
          </cell>
          <cell r="H6" t="str">
            <v/>
          </cell>
          <cell r="J6" t="str">
            <v>Albánská republika</v>
          </cell>
          <cell r="Q6" t="str">
            <v/>
          </cell>
          <cell r="T6" t="str">
            <v/>
          </cell>
          <cell r="W6" t="str">
            <v/>
          </cell>
          <cell r="Z6" t="str">
            <v/>
          </cell>
        </row>
        <row r="7">
          <cell r="B7" t="str">
            <v>KARLOVARSKÝ KRAJ</v>
          </cell>
          <cell r="H7" t="str">
            <v/>
          </cell>
          <cell r="J7" t="str">
            <v>Alžírská demokratická a lidová republika</v>
          </cell>
          <cell r="Q7" t="str">
            <v/>
          </cell>
          <cell r="T7" t="str">
            <v/>
          </cell>
          <cell r="W7" t="str">
            <v/>
          </cell>
          <cell r="Z7" t="str">
            <v/>
          </cell>
        </row>
        <row r="8">
          <cell r="B8" t="str">
            <v>ÚSTECKÝ KRAJ</v>
          </cell>
          <cell r="H8" t="str">
            <v/>
          </cell>
          <cell r="J8" t="str">
            <v>Území Americká Samoa</v>
          </cell>
          <cell r="Q8" t="str">
            <v/>
          </cell>
          <cell r="T8" t="str">
            <v/>
          </cell>
          <cell r="W8" t="str">
            <v/>
          </cell>
          <cell r="Z8" t="str">
            <v/>
          </cell>
        </row>
        <row r="9">
          <cell r="B9" t="str">
            <v>LIBERECKÝ KRAJ</v>
          </cell>
          <cell r="H9" t="str">
            <v/>
          </cell>
          <cell r="J9" t="str">
            <v>Americké Panenské ostrovy</v>
          </cell>
          <cell r="Q9" t="str">
            <v/>
          </cell>
          <cell r="T9" t="str">
            <v/>
          </cell>
          <cell r="W9" t="str">
            <v/>
          </cell>
          <cell r="Z9" t="str">
            <v/>
          </cell>
        </row>
        <row r="10">
          <cell r="B10" t="str">
            <v>KRÁLOVÉHRADEC. KR.</v>
          </cell>
          <cell r="H10" t="str">
            <v/>
          </cell>
          <cell r="J10" t="str">
            <v>Andorrské knížectví</v>
          </cell>
          <cell r="Q10" t="str">
            <v/>
          </cell>
          <cell r="T10" t="str">
            <v/>
          </cell>
          <cell r="W10" t="str">
            <v/>
          </cell>
          <cell r="Z10" t="str">
            <v/>
          </cell>
        </row>
        <row r="11">
          <cell r="B11" t="str">
            <v>PARDUBICKÝ KRAJ</v>
          </cell>
          <cell r="H11" t="str">
            <v/>
          </cell>
          <cell r="J11" t="str">
            <v>Angolská republika</v>
          </cell>
          <cell r="Q11" t="str">
            <v/>
          </cell>
          <cell r="T11" t="str">
            <v/>
          </cell>
          <cell r="W11" t="str">
            <v/>
          </cell>
          <cell r="Z11" t="str">
            <v/>
          </cell>
        </row>
        <row r="12">
          <cell r="B12" t="str">
            <v>KRAJ VYSOČINA</v>
          </cell>
          <cell r="H12" t="str">
            <v/>
          </cell>
          <cell r="J12" t="str">
            <v>Anguilla</v>
          </cell>
          <cell r="Q12" t="str">
            <v/>
          </cell>
          <cell r="T12" t="str">
            <v/>
          </cell>
          <cell r="W12" t="str">
            <v/>
          </cell>
          <cell r="Z12" t="str">
            <v/>
          </cell>
        </row>
        <row r="13">
          <cell r="B13" t="str">
            <v>JIHOMORAVSKÝ KRAJ</v>
          </cell>
          <cell r="H13" t="str">
            <v/>
          </cell>
          <cell r="J13" t="str">
            <v>Antarktida</v>
          </cell>
          <cell r="Q13" t="str">
            <v/>
          </cell>
          <cell r="T13" t="str">
            <v/>
          </cell>
          <cell r="W13" t="str">
            <v/>
          </cell>
          <cell r="Z13" t="str">
            <v/>
          </cell>
        </row>
        <row r="14">
          <cell r="B14" t="str">
            <v>OLOMOUCKÝ KRAJ</v>
          </cell>
          <cell r="H14" t="str">
            <v/>
          </cell>
          <cell r="J14" t="str">
            <v>Antigua a Barbuda</v>
          </cell>
          <cell r="Q14" t="str">
            <v/>
          </cell>
          <cell r="T14" t="str">
            <v/>
          </cell>
          <cell r="W14" t="str">
            <v/>
          </cell>
          <cell r="Z14" t="str">
            <v/>
          </cell>
        </row>
        <row r="15">
          <cell r="B15" t="str">
            <v>MORAVSKOSLEZS. KR.</v>
          </cell>
          <cell r="H15" t="str">
            <v/>
          </cell>
          <cell r="J15" t="str">
            <v>Argentinská republika</v>
          </cell>
          <cell r="Q15" t="str">
            <v/>
          </cell>
          <cell r="T15" t="str">
            <v/>
          </cell>
          <cell r="W15" t="str">
            <v/>
          </cell>
          <cell r="Z15" t="str">
            <v/>
          </cell>
        </row>
        <row r="16">
          <cell r="B16" t="str">
            <v>ZLÍNSKÝ KRAJ</v>
          </cell>
          <cell r="H16" t="str">
            <v/>
          </cell>
          <cell r="J16" t="str">
            <v>Arménská republika</v>
          </cell>
          <cell r="Q16" t="str">
            <v/>
          </cell>
          <cell r="T16" t="str">
            <v/>
          </cell>
          <cell r="W16" t="str">
            <v/>
          </cell>
          <cell r="Z16" t="str">
            <v/>
          </cell>
        </row>
        <row r="17">
          <cell r="B17" t="str">
            <v>SPECIALIZOVANÝ</v>
          </cell>
          <cell r="H17" t="str">
            <v/>
          </cell>
          <cell r="J17" t="str">
            <v>Aruba</v>
          </cell>
          <cell r="Q17" t="str">
            <v/>
          </cell>
          <cell r="T17" t="str">
            <v/>
          </cell>
          <cell r="W17" t="str">
            <v/>
          </cell>
          <cell r="Z17" t="str">
            <v/>
          </cell>
        </row>
        <row r="18">
          <cell r="H18" t="str">
            <v/>
          </cell>
          <cell r="J18" t="str">
            <v>Australské společenství</v>
          </cell>
          <cell r="Q18" t="str">
            <v/>
          </cell>
          <cell r="T18" t="str">
            <v/>
          </cell>
          <cell r="W18" t="str">
            <v/>
          </cell>
          <cell r="Z18" t="str">
            <v/>
          </cell>
        </row>
        <row r="19">
          <cell r="H19" t="str">
            <v/>
          </cell>
          <cell r="J19" t="str">
            <v>Ázerbájdžánská republika</v>
          </cell>
          <cell r="Q19" t="str">
            <v/>
          </cell>
          <cell r="T19" t="str">
            <v/>
          </cell>
          <cell r="W19" t="str">
            <v/>
          </cell>
          <cell r="Z19" t="str">
            <v/>
          </cell>
        </row>
        <row r="20">
          <cell r="H20" t="str">
            <v/>
          </cell>
          <cell r="J20" t="str">
            <v>Bahamské společenství</v>
          </cell>
          <cell r="Q20" t="str">
            <v/>
          </cell>
          <cell r="T20" t="str">
            <v/>
          </cell>
          <cell r="W20" t="str">
            <v/>
          </cell>
          <cell r="Z20" t="str">
            <v/>
          </cell>
        </row>
        <row r="21">
          <cell r="H21" t="str">
            <v/>
          </cell>
          <cell r="J21" t="str">
            <v>Království Bahrajn</v>
          </cell>
          <cell r="Q21" t="str">
            <v/>
          </cell>
          <cell r="T21" t="str">
            <v/>
          </cell>
          <cell r="W21" t="str">
            <v/>
          </cell>
          <cell r="Z21" t="str">
            <v/>
          </cell>
        </row>
        <row r="22">
          <cell r="H22" t="str">
            <v/>
          </cell>
          <cell r="J22" t="str">
            <v>Bangladéšská lidová republika</v>
          </cell>
          <cell r="Q22" t="str">
            <v/>
          </cell>
          <cell r="T22" t="str">
            <v/>
          </cell>
          <cell r="W22" t="str">
            <v/>
          </cell>
          <cell r="Z22" t="str">
            <v/>
          </cell>
        </row>
        <row r="23">
          <cell r="H23" t="str">
            <v/>
          </cell>
          <cell r="J23" t="str">
            <v>Barbados</v>
          </cell>
          <cell r="Q23" t="str">
            <v/>
          </cell>
          <cell r="T23" t="str">
            <v/>
          </cell>
          <cell r="W23" t="str">
            <v/>
          </cell>
          <cell r="Z23" t="str">
            <v/>
          </cell>
        </row>
        <row r="24">
          <cell r="H24" t="str">
            <v/>
          </cell>
          <cell r="J24" t="str">
            <v>Belgické království</v>
          </cell>
          <cell r="Q24" t="str">
            <v/>
          </cell>
          <cell r="T24" t="str">
            <v/>
          </cell>
          <cell r="W24" t="str">
            <v/>
          </cell>
          <cell r="Z24" t="str">
            <v/>
          </cell>
        </row>
        <row r="25">
          <cell r="H25" t="str">
            <v/>
          </cell>
          <cell r="J25" t="str">
            <v>Belize</v>
          </cell>
          <cell r="Q25" t="str">
            <v/>
          </cell>
          <cell r="T25" t="str">
            <v/>
          </cell>
          <cell r="W25" t="str">
            <v/>
          </cell>
          <cell r="Z25" t="str">
            <v/>
          </cell>
        </row>
        <row r="26">
          <cell r="H26" t="str">
            <v/>
          </cell>
          <cell r="J26" t="str">
            <v>Běloruská republika</v>
          </cell>
          <cell r="Q26" t="str">
            <v/>
          </cell>
          <cell r="T26" t="str">
            <v/>
          </cell>
          <cell r="W26" t="str">
            <v/>
          </cell>
          <cell r="Z26" t="str">
            <v/>
          </cell>
        </row>
        <row r="27">
          <cell r="H27" t="str">
            <v/>
          </cell>
          <cell r="J27" t="str">
            <v>Beninská republika</v>
          </cell>
          <cell r="Q27" t="str">
            <v/>
          </cell>
          <cell r="T27" t="str">
            <v/>
          </cell>
          <cell r="W27" t="str">
            <v/>
          </cell>
          <cell r="Z27" t="str">
            <v/>
          </cell>
        </row>
        <row r="28">
          <cell r="H28" t="str">
            <v/>
          </cell>
          <cell r="J28" t="str">
            <v>Bermudy</v>
          </cell>
          <cell r="Q28" t="str">
            <v/>
          </cell>
          <cell r="T28" t="str">
            <v/>
          </cell>
          <cell r="W28" t="str">
            <v/>
          </cell>
          <cell r="Z28" t="str">
            <v/>
          </cell>
        </row>
        <row r="29">
          <cell r="H29" t="str">
            <v/>
          </cell>
          <cell r="J29" t="str">
            <v>Bhútánské království</v>
          </cell>
          <cell r="Q29" t="str">
            <v/>
          </cell>
          <cell r="T29" t="str">
            <v/>
          </cell>
          <cell r="W29" t="str">
            <v/>
          </cell>
          <cell r="Z29" t="str">
            <v/>
          </cell>
        </row>
        <row r="30">
          <cell r="H30" t="str">
            <v/>
          </cell>
          <cell r="J30" t="str">
            <v>Mnohonárodní stát Bolívie</v>
          </cell>
          <cell r="Q30" t="str">
            <v/>
          </cell>
          <cell r="T30" t="str">
            <v/>
          </cell>
          <cell r="W30" t="str">
            <v/>
          </cell>
          <cell r="Z30" t="str">
            <v/>
          </cell>
        </row>
        <row r="31">
          <cell r="H31" t="str">
            <v/>
          </cell>
          <cell r="J31" t="str">
            <v>Bonaire, Svatý Eustach a Saba</v>
          </cell>
          <cell r="Q31" t="str">
            <v/>
          </cell>
          <cell r="T31" t="str">
            <v/>
          </cell>
          <cell r="W31" t="str">
            <v/>
          </cell>
          <cell r="Z31" t="str">
            <v/>
          </cell>
        </row>
        <row r="32">
          <cell r="H32" t="str">
            <v/>
          </cell>
          <cell r="J32" t="str">
            <v>Bosna a Hercegovina</v>
          </cell>
          <cell r="Q32" t="str">
            <v/>
          </cell>
          <cell r="T32" t="str">
            <v/>
          </cell>
          <cell r="W32" t="str">
            <v/>
          </cell>
          <cell r="Z32" t="str">
            <v/>
          </cell>
        </row>
        <row r="33">
          <cell r="H33" t="str">
            <v/>
          </cell>
          <cell r="J33" t="str">
            <v>Botswanská republika</v>
          </cell>
          <cell r="Q33" t="str">
            <v/>
          </cell>
          <cell r="T33" t="str">
            <v/>
          </cell>
          <cell r="W33" t="str">
            <v/>
          </cell>
          <cell r="Z33" t="str">
            <v/>
          </cell>
        </row>
        <row r="34">
          <cell r="H34" t="str">
            <v/>
          </cell>
          <cell r="J34" t="str">
            <v>Bouvetův ostrov</v>
          </cell>
          <cell r="Q34" t="str">
            <v/>
          </cell>
          <cell r="T34" t="str">
            <v/>
          </cell>
          <cell r="W34" t="str">
            <v/>
          </cell>
          <cell r="Z34" t="str">
            <v/>
          </cell>
        </row>
        <row r="35">
          <cell r="H35" t="str">
            <v/>
          </cell>
          <cell r="J35" t="str">
            <v>Brazilská federativní republika</v>
          </cell>
          <cell r="Q35" t="str">
            <v/>
          </cell>
          <cell r="T35" t="str">
            <v/>
          </cell>
          <cell r="W35" t="str">
            <v/>
          </cell>
          <cell r="Z35" t="str">
            <v/>
          </cell>
        </row>
        <row r="36">
          <cell r="H36" t="str">
            <v/>
          </cell>
          <cell r="J36" t="str">
            <v>Britské území v Indickém oceánu</v>
          </cell>
          <cell r="Q36" t="str">
            <v/>
          </cell>
          <cell r="T36" t="str">
            <v/>
          </cell>
          <cell r="W36" t="str">
            <v/>
          </cell>
          <cell r="Z36" t="str">
            <v/>
          </cell>
        </row>
        <row r="37">
          <cell r="H37" t="str">
            <v/>
          </cell>
          <cell r="J37" t="str">
            <v>Britské Panenské ostrovy</v>
          </cell>
          <cell r="Q37" t="str">
            <v/>
          </cell>
          <cell r="T37" t="str">
            <v/>
          </cell>
          <cell r="W37" t="str">
            <v/>
          </cell>
          <cell r="Z37" t="str">
            <v/>
          </cell>
        </row>
        <row r="38">
          <cell r="H38" t="str">
            <v/>
          </cell>
          <cell r="J38" t="str">
            <v>Stát Brunej Darussalam</v>
          </cell>
          <cell r="Q38" t="str">
            <v/>
          </cell>
          <cell r="T38" t="str">
            <v/>
          </cell>
          <cell r="W38" t="str">
            <v/>
          </cell>
          <cell r="Z38" t="str">
            <v/>
          </cell>
        </row>
        <row r="39">
          <cell r="H39" t="str">
            <v/>
          </cell>
          <cell r="J39" t="str">
            <v>Bulharská republika</v>
          </cell>
          <cell r="Q39" t="str">
            <v/>
          </cell>
          <cell r="T39" t="str">
            <v/>
          </cell>
          <cell r="W39" t="str">
            <v/>
          </cell>
          <cell r="Z39" t="str">
            <v/>
          </cell>
        </row>
        <row r="40">
          <cell r="H40" t="str">
            <v/>
          </cell>
          <cell r="J40" t="str">
            <v>Burkina Faso</v>
          </cell>
          <cell r="Q40" t="str">
            <v/>
          </cell>
          <cell r="T40" t="str">
            <v/>
          </cell>
          <cell r="W40" t="str">
            <v/>
          </cell>
          <cell r="Z40" t="str">
            <v/>
          </cell>
        </row>
        <row r="41">
          <cell r="H41" t="str">
            <v/>
          </cell>
          <cell r="J41" t="str">
            <v>Burundská republika</v>
          </cell>
          <cell r="Q41" t="str">
            <v/>
          </cell>
          <cell r="T41" t="str">
            <v/>
          </cell>
          <cell r="W41" t="str">
            <v/>
          </cell>
          <cell r="Z41" t="str">
            <v/>
          </cell>
        </row>
        <row r="42">
          <cell r="H42" t="str">
            <v/>
          </cell>
          <cell r="J42" t="str">
            <v>Cookovy ostrovy</v>
          </cell>
          <cell r="Q42" t="str">
            <v/>
          </cell>
          <cell r="T42" t="str">
            <v/>
          </cell>
          <cell r="W42" t="str">
            <v/>
          </cell>
          <cell r="Z42" t="str">
            <v/>
          </cell>
        </row>
        <row r="43">
          <cell r="H43" t="str">
            <v/>
          </cell>
          <cell r="J43" t="str">
            <v>Curaçao</v>
          </cell>
          <cell r="Q43" t="str">
            <v/>
          </cell>
          <cell r="T43" t="str">
            <v/>
          </cell>
          <cell r="W43" t="str">
            <v/>
          </cell>
          <cell r="Z43" t="str">
            <v/>
          </cell>
        </row>
        <row r="44">
          <cell r="H44" t="str">
            <v/>
          </cell>
          <cell r="J44" t="str">
            <v>Čadská republika</v>
          </cell>
          <cell r="Q44" t="str">
            <v/>
          </cell>
          <cell r="T44" t="str">
            <v/>
          </cell>
          <cell r="W44" t="str">
            <v/>
          </cell>
          <cell r="Z44" t="str">
            <v/>
          </cell>
        </row>
        <row r="45">
          <cell r="H45" t="str">
            <v/>
          </cell>
          <cell r="J45" t="str">
            <v>Černá Hora</v>
          </cell>
          <cell r="Q45" t="str">
            <v/>
          </cell>
          <cell r="T45" t="str">
            <v/>
          </cell>
          <cell r="W45" t="str">
            <v/>
          </cell>
          <cell r="Z45" t="str">
            <v/>
          </cell>
        </row>
        <row r="46">
          <cell r="H46" t="str">
            <v/>
          </cell>
          <cell r="J46" t="str">
            <v>Česká republika</v>
          </cell>
          <cell r="Q46" t="str">
            <v/>
          </cell>
          <cell r="T46" t="str">
            <v/>
          </cell>
          <cell r="W46" t="str">
            <v/>
          </cell>
          <cell r="Z46" t="str">
            <v/>
          </cell>
        </row>
        <row r="47">
          <cell r="H47" t="str">
            <v/>
          </cell>
          <cell r="J47" t="str">
            <v>Čínská lidová republika</v>
          </cell>
          <cell r="Q47" t="str">
            <v/>
          </cell>
          <cell r="T47" t="str">
            <v/>
          </cell>
          <cell r="W47" t="str">
            <v/>
          </cell>
          <cell r="Z47" t="str">
            <v/>
          </cell>
        </row>
        <row r="48">
          <cell r="H48" t="str">
            <v/>
          </cell>
          <cell r="J48" t="str">
            <v>Dánské království</v>
          </cell>
          <cell r="Q48" t="str">
            <v/>
          </cell>
          <cell r="T48" t="str">
            <v/>
          </cell>
          <cell r="W48" t="str">
            <v/>
          </cell>
          <cell r="Z48" t="str">
            <v/>
          </cell>
        </row>
        <row r="49">
          <cell r="H49" t="str">
            <v/>
          </cell>
          <cell r="J49" t="str">
            <v>Demokratická republika Kongo</v>
          </cell>
          <cell r="Q49" t="str">
            <v/>
          </cell>
          <cell r="T49" t="str">
            <v/>
          </cell>
          <cell r="W49" t="str">
            <v/>
          </cell>
          <cell r="Z49" t="str">
            <v/>
          </cell>
        </row>
        <row r="50">
          <cell r="H50" t="str">
            <v/>
          </cell>
          <cell r="J50" t="str">
            <v>Dominické společenství</v>
          </cell>
          <cell r="Q50" t="str">
            <v/>
          </cell>
          <cell r="T50" t="str">
            <v/>
          </cell>
          <cell r="W50" t="str">
            <v/>
          </cell>
          <cell r="Z50" t="str">
            <v/>
          </cell>
        </row>
        <row r="51">
          <cell r="H51" t="str">
            <v/>
          </cell>
          <cell r="J51" t="str">
            <v>Dominikánská republika</v>
          </cell>
          <cell r="Q51" t="str">
            <v/>
          </cell>
          <cell r="T51" t="str">
            <v/>
          </cell>
          <cell r="W51" t="str">
            <v/>
          </cell>
          <cell r="Z51" t="str">
            <v/>
          </cell>
        </row>
        <row r="52">
          <cell r="H52" t="str">
            <v/>
          </cell>
          <cell r="J52" t="str">
            <v>Džibutská republika</v>
          </cell>
          <cell r="Q52" t="str">
            <v/>
          </cell>
          <cell r="T52" t="str">
            <v/>
          </cell>
          <cell r="W52" t="str">
            <v/>
          </cell>
          <cell r="Z52" t="str">
            <v/>
          </cell>
        </row>
        <row r="53">
          <cell r="H53" t="str">
            <v/>
          </cell>
          <cell r="J53" t="str">
            <v>Egyptská arabská republika</v>
          </cell>
          <cell r="Q53" t="str">
            <v/>
          </cell>
          <cell r="T53" t="str">
            <v/>
          </cell>
          <cell r="W53" t="str">
            <v/>
          </cell>
          <cell r="Z53" t="str">
            <v/>
          </cell>
        </row>
        <row r="54">
          <cell r="H54" t="str">
            <v/>
          </cell>
          <cell r="J54" t="str">
            <v>Ekvádorská republika</v>
          </cell>
          <cell r="Q54" t="str">
            <v/>
          </cell>
          <cell r="T54" t="str">
            <v/>
          </cell>
          <cell r="W54" t="str">
            <v/>
          </cell>
          <cell r="Z54" t="str">
            <v/>
          </cell>
        </row>
        <row r="55">
          <cell r="H55" t="str">
            <v/>
          </cell>
          <cell r="J55" t="str">
            <v>Stát Eritrea</v>
          </cell>
          <cell r="Q55" t="str">
            <v/>
          </cell>
          <cell r="T55" t="str">
            <v/>
          </cell>
          <cell r="W55" t="str">
            <v/>
          </cell>
          <cell r="Z55" t="str">
            <v/>
          </cell>
        </row>
        <row r="56">
          <cell r="H56" t="str">
            <v/>
          </cell>
          <cell r="J56" t="str">
            <v>Estonská republika</v>
          </cell>
          <cell r="Q56" t="str">
            <v/>
          </cell>
          <cell r="T56" t="str">
            <v/>
          </cell>
          <cell r="W56" t="str">
            <v/>
          </cell>
          <cell r="Z56" t="str">
            <v/>
          </cell>
        </row>
        <row r="57">
          <cell r="H57" t="str">
            <v/>
          </cell>
          <cell r="J57" t="str">
            <v>Etiopská federativní demokratická republika</v>
          </cell>
          <cell r="Q57" t="str">
            <v/>
          </cell>
          <cell r="T57" t="str">
            <v/>
          </cell>
          <cell r="W57" t="str">
            <v/>
          </cell>
          <cell r="Z57" t="str">
            <v/>
          </cell>
        </row>
        <row r="58">
          <cell r="H58" t="str">
            <v/>
          </cell>
          <cell r="J58" t="str">
            <v>Faerské ostrovy</v>
          </cell>
          <cell r="Q58" t="str">
            <v/>
          </cell>
          <cell r="T58" t="str">
            <v/>
          </cell>
          <cell r="W58" t="str">
            <v/>
          </cell>
          <cell r="Z58" t="str">
            <v/>
          </cell>
        </row>
        <row r="59">
          <cell r="H59" t="str">
            <v/>
          </cell>
          <cell r="J59" t="str">
            <v>Falklandské ostrovy</v>
          </cell>
          <cell r="Q59" t="str">
            <v/>
          </cell>
          <cell r="T59" t="str">
            <v/>
          </cell>
          <cell r="W59" t="str">
            <v/>
          </cell>
          <cell r="Z59" t="str">
            <v/>
          </cell>
        </row>
        <row r="60">
          <cell r="H60" t="str">
            <v/>
          </cell>
          <cell r="J60" t="str">
            <v>Fidžijská republika</v>
          </cell>
          <cell r="Q60" t="str">
            <v/>
          </cell>
          <cell r="T60" t="str">
            <v/>
          </cell>
          <cell r="W60" t="str">
            <v/>
          </cell>
          <cell r="Z60" t="str">
            <v/>
          </cell>
        </row>
        <row r="61">
          <cell r="H61" t="str">
            <v/>
          </cell>
          <cell r="J61" t="str">
            <v>Filipínská republika</v>
          </cell>
          <cell r="Q61" t="str">
            <v/>
          </cell>
          <cell r="T61" t="str">
            <v/>
          </cell>
          <cell r="W61" t="str">
            <v/>
          </cell>
          <cell r="Z61" t="str">
            <v/>
          </cell>
        </row>
        <row r="62">
          <cell r="H62" t="str">
            <v/>
          </cell>
          <cell r="J62" t="str">
            <v>Finská republika</v>
          </cell>
          <cell r="Q62" t="str">
            <v/>
          </cell>
          <cell r="T62" t="str">
            <v/>
          </cell>
          <cell r="W62" t="str">
            <v/>
          </cell>
          <cell r="Z62" t="str">
            <v/>
          </cell>
        </row>
        <row r="63">
          <cell r="H63" t="str">
            <v/>
          </cell>
          <cell r="J63" t="str">
            <v>Francouzská republika</v>
          </cell>
          <cell r="Q63" t="str">
            <v/>
          </cell>
          <cell r="T63" t="str">
            <v/>
          </cell>
          <cell r="W63" t="str">
            <v/>
          </cell>
          <cell r="Z63" t="str">
            <v/>
          </cell>
        </row>
        <row r="64">
          <cell r="H64" t="str">
            <v/>
          </cell>
          <cell r="J64" t="str">
            <v>Region Francouzská Guyana</v>
          </cell>
          <cell r="Q64" t="str">
            <v/>
          </cell>
          <cell r="T64" t="str">
            <v/>
          </cell>
          <cell r="W64" t="str">
            <v/>
          </cell>
          <cell r="Z64" t="str">
            <v/>
          </cell>
        </row>
        <row r="65">
          <cell r="H65" t="str">
            <v/>
          </cell>
          <cell r="J65" t="str">
            <v>Teritorium Francouzská jižní a antarktická území</v>
          </cell>
          <cell r="Q65" t="str">
            <v/>
          </cell>
          <cell r="T65" t="str">
            <v/>
          </cell>
          <cell r="W65" t="str">
            <v/>
          </cell>
          <cell r="Z65" t="str">
            <v/>
          </cell>
        </row>
        <row r="66">
          <cell r="H66" t="str">
            <v/>
          </cell>
          <cell r="J66" t="str">
            <v>Francouzská Polynésie</v>
          </cell>
          <cell r="Q66" t="str">
            <v/>
          </cell>
          <cell r="T66" t="str">
            <v/>
          </cell>
          <cell r="W66" t="str">
            <v/>
          </cell>
          <cell r="Z66" t="str">
            <v/>
          </cell>
        </row>
        <row r="67">
          <cell r="H67" t="str">
            <v/>
          </cell>
          <cell r="J67" t="str">
            <v>Gabonská republika</v>
          </cell>
          <cell r="Q67" t="str">
            <v/>
          </cell>
          <cell r="T67" t="str">
            <v/>
          </cell>
          <cell r="W67" t="str">
            <v/>
          </cell>
          <cell r="Z67" t="str">
            <v/>
          </cell>
        </row>
        <row r="68">
          <cell r="H68" t="str">
            <v/>
          </cell>
          <cell r="J68" t="str">
            <v>Gambijská republika</v>
          </cell>
          <cell r="Q68" t="str">
            <v/>
          </cell>
          <cell r="T68" t="str">
            <v/>
          </cell>
          <cell r="W68" t="str">
            <v/>
          </cell>
          <cell r="Z68" t="str">
            <v/>
          </cell>
        </row>
        <row r="69">
          <cell r="H69" t="str">
            <v/>
          </cell>
          <cell r="J69" t="str">
            <v>Ghanská republika</v>
          </cell>
          <cell r="Q69" t="str">
            <v/>
          </cell>
          <cell r="T69" t="str">
            <v/>
          </cell>
          <cell r="W69" t="str">
            <v/>
          </cell>
          <cell r="Z69" t="str">
            <v/>
          </cell>
        </row>
        <row r="70">
          <cell r="H70" t="str">
            <v/>
          </cell>
          <cell r="J70" t="str">
            <v>Gibraltar</v>
          </cell>
          <cell r="Q70" t="str">
            <v/>
          </cell>
          <cell r="T70" t="str">
            <v/>
          </cell>
          <cell r="W70" t="str">
            <v/>
          </cell>
          <cell r="Z70" t="str">
            <v/>
          </cell>
        </row>
        <row r="71">
          <cell r="H71" t="str">
            <v/>
          </cell>
          <cell r="J71" t="str">
            <v>Grenadský stát</v>
          </cell>
          <cell r="Q71" t="str">
            <v/>
          </cell>
          <cell r="T71" t="str">
            <v/>
          </cell>
          <cell r="W71" t="str">
            <v/>
          </cell>
          <cell r="Z71" t="str">
            <v/>
          </cell>
        </row>
        <row r="72">
          <cell r="H72" t="str">
            <v/>
          </cell>
          <cell r="J72" t="str">
            <v>Grónsko</v>
          </cell>
          <cell r="Q72" t="str">
            <v/>
          </cell>
          <cell r="T72" t="str">
            <v/>
          </cell>
          <cell r="W72" t="str">
            <v/>
          </cell>
          <cell r="Z72" t="str">
            <v/>
          </cell>
        </row>
        <row r="73">
          <cell r="H73" t="str">
            <v/>
          </cell>
          <cell r="J73" t="str">
            <v>Gruzie</v>
          </cell>
          <cell r="Q73" t="str">
            <v/>
          </cell>
          <cell r="T73" t="str">
            <v/>
          </cell>
          <cell r="W73" t="str">
            <v/>
          </cell>
          <cell r="Z73" t="str">
            <v/>
          </cell>
        </row>
        <row r="74">
          <cell r="H74" t="str">
            <v/>
          </cell>
          <cell r="J74" t="str">
            <v>Region Guadeloupe</v>
          </cell>
          <cell r="Q74" t="str">
            <v/>
          </cell>
          <cell r="T74" t="str">
            <v/>
          </cell>
          <cell r="W74" t="str">
            <v/>
          </cell>
          <cell r="Z74" t="str">
            <v/>
          </cell>
        </row>
        <row r="75">
          <cell r="H75" t="str">
            <v/>
          </cell>
          <cell r="J75" t="str">
            <v>Teritorium Guam</v>
          </cell>
          <cell r="Q75" t="str">
            <v/>
          </cell>
          <cell r="T75" t="str">
            <v/>
          </cell>
          <cell r="W75" t="str">
            <v/>
          </cell>
          <cell r="Z75" t="str">
            <v/>
          </cell>
        </row>
        <row r="76">
          <cell r="H76" t="str">
            <v/>
          </cell>
          <cell r="J76" t="str">
            <v>Guatemalská republika</v>
          </cell>
          <cell r="Q76" t="str">
            <v/>
          </cell>
          <cell r="T76" t="str">
            <v/>
          </cell>
          <cell r="W76" t="str">
            <v/>
          </cell>
          <cell r="Z76" t="str">
            <v/>
          </cell>
        </row>
        <row r="77">
          <cell r="H77" t="str">
            <v/>
          </cell>
          <cell r="J77" t="str">
            <v>Bailiwick Guernsey</v>
          </cell>
          <cell r="Q77" t="str">
            <v/>
          </cell>
          <cell r="T77" t="str">
            <v/>
          </cell>
          <cell r="W77" t="str">
            <v/>
          </cell>
          <cell r="Z77" t="str">
            <v/>
          </cell>
        </row>
        <row r="78">
          <cell r="H78" t="str">
            <v/>
          </cell>
          <cell r="J78" t="str">
            <v>Guinejská republika</v>
          </cell>
          <cell r="Q78" t="str">
            <v/>
          </cell>
          <cell r="T78" t="str">
            <v/>
          </cell>
          <cell r="W78" t="str">
            <v/>
          </cell>
          <cell r="Z78" t="str">
            <v/>
          </cell>
        </row>
        <row r="79">
          <cell r="H79" t="str">
            <v/>
          </cell>
          <cell r="J79" t="str">
            <v>Republika Guinea-Bissau</v>
          </cell>
          <cell r="Q79" t="str">
            <v/>
          </cell>
          <cell r="T79" t="str">
            <v/>
          </cell>
          <cell r="W79" t="str">
            <v/>
          </cell>
          <cell r="Z79" t="str">
            <v/>
          </cell>
        </row>
        <row r="80">
          <cell r="H80" t="str">
            <v/>
          </cell>
          <cell r="J80" t="str">
            <v>Guyanská kooperativní republika</v>
          </cell>
          <cell r="Q80" t="str">
            <v/>
          </cell>
          <cell r="T80" t="str">
            <v/>
          </cell>
          <cell r="W80" t="str">
            <v/>
          </cell>
          <cell r="Z80" t="str">
            <v/>
          </cell>
        </row>
        <row r="81">
          <cell r="H81" t="str">
            <v/>
          </cell>
          <cell r="J81" t="str">
            <v>Republika Haiti</v>
          </cell>
          <cell r="Q81" t="str">
            <v/>
          </cell>
          <cell r="T81" t="str">
            <v/>
          </cell>
          <cell r="W81" t="str">
            <v/>
          </cell>
          <cell r="Z81" t="str">
            <v/>
          </cell>
        </row>
        <row r="82">
          <cell r="H82" t="str">
            <v/>
          </cell>
          <cell r="J82" t="str">
            <v>Heardův ostrov a MacDonaldovy ostrovy</v>
          </cell>
          <cell r="Q82" t="str">
            <v/>
          </cell>
          <cell r="T82" t="str">
            <v/>
          </cell>
          <cell r="W82" t="str">
            <v/>
          </cell>
          <cell r="Z82" t="str">
            <v/>
          </cell>
        </row>
        <row r="83">
          <cell r="H83" t="str">
            <v/>
          </cell>
          <cell r="J83" t="str">
            <v>Honduraská republika</v>
          </cell>
          <cell r="Q83" t="str">
            <v/>
          </cell>
          <cell r="T83" t="str">
            <v/>
          </cell>
          <cell r="W83" t="str">
            <v/>
          </cell>
          <cell r="Z83" t="str">
            <v/>
          </cell>
        </row>
        <row r="84">
          <cell r="H84" t="str">
            <v/>
          </cell>
          <cell r="J84" t="str">
            <v>Zvláštní administrativní oblast Čínské lidové republiky Hongkong</v>
          </cell>
          <cell r="Q84" t="str">
            <v/>
          </cell>
          <cell r="T84" t="str">
            <v/>
          </cell>
          <cell r="W84" t="str">
            <v/>
          </cell>
          <cell r="Z84" t="str">
            <v/>
          </cell>
        </row>
        <row r="85">
          <cell r="H85" t="str">
            <v/>
          </cell>
          <cell r="J85" t="str">
            <v>Chilská republika</v>
          </cell>
          <cell r="Q85" t="str">
            <v/>
          </cell>
          <cell r="T85" t="str">
            <v/>
          </cell>
          <cell r="W85" t="str">
            <v/>
          </cell>
          <cell r="Z85" t="str">
            <v/>
          </cell>
        </row>
        <row r="86">
          <cell r="H86" t="str">
            <v/>
          </cell>
          <cell r="J86" t="str">
            <v>Chorvatská republika</v>
          </cell>
          <cell r="Q86" t="str">
            <v/>
          </cell>
          <cell r="T86" t="str">
            <v/>
          </cell>
          <cell r="W86" t="str">
            <v/>
          </cell>
          <cell r="Z86" t="str">
            <v/>
          </cell>
        </row>
        <row r="87">
          <cell r="H87" t="str">
            <v/>
          </cell>
          <cell r="J87" t="str">
            <v>Indická republika</v>
          </cell>
          <cell r="Q87" t="str">
            <v/>
          </cell>
          <cell r="T87" t="str">
            <v/>
          </cell>
          <cell r="W87" t="str">
            <v/>
          </cell>
          <cell r="Z87" t="str">
            <v/>
          </cell>
        </row>
        <row r="88">
          <cell r="H88" t="str">
            <v/>
          </cell>
          <cell r="J88" t="str">
            <v>Indonéská republika</v>
          </cell>
          <cell r="Q88" t="str">
            <v/>
          </cell>
          <cell r="T88" t="str">
            <v/>
          </cell>
          <cell r="W88" t="str">
            <v/>
          </cell>
          <cell r="Z88" t="str">
            <v/>
          </cell>
        </row>
        <row r="89">
          <cell r="H89" t="str">
            <v/>
          </cell>
          <cell r="J89" t="str">
            <v>Irácká republika</v>
          </cell>
          <cell r="Q89" t="str">
            <v/>
          </cell>
          <cell r="T89" t="str">
            <v/>
          </cell>
          <cell r="W89" t="str">
            <v/>
          </cell>
          <cell r="Z89" t="str">
            <v/>
          </cell>
        </row>
        <row r="90">
          <cell r="H90" t="str">
            <v/>
          </cell>
          <cell r="J90" t="str">
            <v>Íránská islámská republika</v>
          </cell>
          <cell r="Q90" t="str">
            <v/>
          </cell>
          <cell r="T90" t="str">
            <v/>
          </cell>
          <cell r="W90" t="str">
            <v/>
          </cell>
          <cell r="Z90" t="str">
            <v/>
          </cell>
        </row>
        <row r="91">
          <cell r="H91" t="str">
            <v/>
          </cell>
          <cell r="J91" t="str">
            <v>Irsko</v>
          </cell>
          <cell r="Q91" t="str">
            <v/>
          </cell>
          <cell r="T91" t="str">
            <v/>
          </cell>
          <cell r="W91" t="str">
            <v/>
          </cell>
          <cell r="Z91" t="str">
            <v/>
          </cell>
        </row>
        <row r="92">
          <cell r="H92" t="str">
            <v/>
          </cell>
          <cell r="J92" t="str">
            <v>Islandská republika</v>
          </cell>
          <cell r="Q92" t="str">
            <v/>
          </cell>
          <cell r="T92" t="str">
            <v/>
          </cell>
          <cell r="W92" t="str">
            <v/>
          </cell>
          <cell r="Z92" t="str">
            <v/>
          </cell>
        </row>
        <row r="93">
          <cell r="H93" t="str">
            <v/>
          </cell>
          <cell r="J93" t="str">
            <v>Italská republika</v>
          </cell>
          <cell r="Q93" t="str">
            <v/>
          </cell>
          <cell r="T93" t="str">
            <v/>
          </cell>
          <cell r="W93" t="str">
            <v/>
          </cell>
          <cell r="Z93" t="str">
            <v/>
          </cell>
        </row>
        <row r="94">
          <cell r="H94" t="str">
            <v/>
          </cell>
          <cell r="J94" t="str">
            <v>Stát Izrael</v>
          </cell>
          <cell r="Q94" t="str">
            <v/>
          </cell>
          <cell r="T94" t="str">
            <v/>
          </cell>
          <cell r="W94" t="str">
            <v/>
          </cell>
          <cell r="Z94" t="str">
            <v/>
          </cell>
        </row>
        <row r="95">
          <cell r="H95" t="str">
            <v/>
          </cell>
          <cell r="J95" t="str">
            <v>Jamajka</v>
          </cell>
          <cell r="Q95" t="str">
            <v/>
          </cell>
          <cell r="T95" t="str">
            <v/>
          </cell>
          <cell r="W95" t="str">
            <v/>
          </cell>
          <cell r="Z95" t="str">
            <v/>
          </cell>
        </row>
        <row r="96">
          <cell r="H96" t="str">
            <v/>
          </cell>
          <cell r="J96" t="str">
            <v>Japonsko</v>
          </cell>
          <cell r="Q96" t="str">
            <v/>
          </cell>
          <cell r="T96" t="str">
            <v/>
          </cell>
          <cell r="W96" t="str">
            <v/>
          </cell>
          <cell r="Z96" t="str">
            <v/>
          </cell>
        </row>
        <row r="97">
          <cell r="H97" t="str">
            <v/>
          </cell>
          <cell r="J97" t="str">
            <v>Jemenská republika</v>
          </cell>
          <cell r="Q97" t="str">
            <v/>
          </cell>
          <cell r="T97" t="str">
            <v/>
          </cell>
          <cell r="W97" t="str">
            <v/>
          </cell>
          <cell r="Z97" t="str">
            <v/>
          </cell>
        </row>
        <row r="98">
          <cell r="H98" t="str">
            <v/>
          </cell>
          <cell r="J98" t="str">
            <v>Bailiwick Jersey</v>
          </cell>
          <cell r="Q98" t="str">
            <v/>
          </cell>
          <cell r="T98" t="str">
            <v/>
          </cell>
          <cell r="W98" t="str">
            <v/>
          </cell>
          <cell r="Z98" t="str">
            <v/>
          </cell>
        </row>
        <row r="99">
          <cell r="H99" t="str">
            <v/>
          </cell>
          <cell r="J99" t="str">
            <v>Jihoafrická republika</v>
          </cell>
          <cell r="Q99" t="str">
            <v/>
          </cell>
          <cell r="T99" t="str">
            <v/>
          </cell>
          <cell r="W99" t="str">
            <v/>
          </cell>
          <cell r="Z99" t="str">
            <v/>
          </cell>
        </row>
        <row r="100">
          <cell r="H100" t="str">
            <v/>
          </cell>
          <cell r="J100" t="str">
            <v>Jižní Georgie a Jižní Sandwichovy ostrovy</v>
          </cell>
          <cell r="Q100" t="str">
            <v/>
          </cell>
          <cell r="T100" t="str">
            <v/>
          </cell>
          <cell r="W100" t="str">
            <v/>
          </cell>
          <cell r="Z100" t="str">
            <v/>
          </cell>
        </row>
        <row r="101">
          <cell r="H101" t="str">
            <v/>
          </cell>
          <cell r="J101" t="str">
            <v>Jihosúdánská republika</v>
          </cell>
          <cell r="Q101" t="str">
            <v/>
          </cell>
          <cell r="T101" t="str">
            <v/>
          </cell>
          <cell r="W101" t="str">
            <v/>
          </cell>
          <cell r="Z101" t="str">
            <v/>
          </cell>
        </row>
        <row r="102">
          <cell r="H102" t="str">
            <v/>
          </cell>
          <cell r="J102" t="str">
            <v>Jordánské hášimovské království</v>
          </cell>
          <cell r="Q102" t="str">
            <v/>
          </cell>
          <cell r="T102" t="str">
            <v/>
          </cell>
          <cell r="W102" t="str">
            <v/>
          </cell>
          <cell r="Z102" t="str">
            <v/>
          </cell>
        </row>
        <row r="103">
          <cell r="H103" t="str">
            <v/>
          </cell>
          <cell r="J103" t="str">
            <v>Kajmanské ostrovy</v>
          </cell>
          <cell r="Q103" t="str">
            <v/>
          </cell>
          <cell r="T103" t="str">
            <v/>
          </cell>
          <cell r="W103" t="str">
            <v/>
          </cell>
          <cell r="Z103" t="str">
            <v/>
          </cell>
        </row>
        <row r="104">
          <cell r="H104" t="str">
            <v/>
          </cell>
          <cell r="J104" t="str">
            <v>Kambodžské království</v>
          </cell>
          <cell r="Q104" t="str">
            <v/>
          </cell>
          <cell r="T104" t="str">
            <v/>
          </cell>
          <cell r="W104" t="str">
            <v/>
          </cell>
          <cell r="Z104" t="str">
            <v/>
          </cell>
        </row>
        <row r="105">
          <cell r="H105" t="str">
            <v/>
          </cell>
          <cell r="J105" t="str">
            <v>Kamerunská republika</v>
          </cell>
          <cell r="Q105" t="str">
            <v/>
          </cell>
          <cell r="T105" t="str">
            <v/>
          </cell>
          <cell r="W105" t="str">
            <v/>
          </cell>
          <cell r="Z105" t="str">
            <v/>
          </cell>
        </row>
        <row r="106">
          <cell r="H106" t="str">
            <v/>
          </cell>
          <cell r="J106" t="str">
            <v>Kanada</v>
          </cell>
          <cell r="Q106" t="str">
            <v/>
          </cell>
          <cell r="T106" t="str">
            <v/>
          </cell>
          <cell r="W106" t="str">
            <v/>
          </cell>
          <cell r="Z106" t="str">
            <v/>
          </cell>
        </row>
        <row r="107">
          <cell r="H107" t="str">
            <v/>
          </cell>
          <cell r="J107" t="str">
            <v>Kapverdská republika</v>
          </cell>
          <cell r="Q107" t="str">
            <v/>
          </cell>
          <cell r="T107" t="str">
            <v/>
          </cell>
          <cell r="W107" t="str">
            <v/>
          </cell>
          <cell r="Z107" t="str">
            <v/>
          </cell>
        </row>
        <row r="108">
          <cell r="H108" t="str">
            <v/>
          </cell>
          <cell r="J108" t="str">
            <v>Stát Katar</v>
          </cell>
          <cell r="Q108" t="str">
            <v/>
          </cell>
          <cell r="T108" t="str">
            <v/>
          </cell>
          <cell r="W108" t="str">
            <v/>
          </cell>
          <cell r="Z108" t="str">
            <v/>
          </cell>
        </row>
        <row r="109">
          <cell r="H109" t="str">
            <v/>
          </cell>
          <cell r="J109" t="str">
            <v>Republika Kazachstán</v>
          </cell>
          <cell r="Q109" t="str">
            <v/>
          </cell>
          <cell r="T109" t="str">
            <v/>
          </cell>
          <cell r="W109" t="str">
            <v/>
          </cell>
          <cell r="Z109" t="str">
            <v/>
          </cell>
        </row>
        <row r="110">
          <cell r="H110" t="str">
            <v/>
          </cell>
          <cell r="J110" t="str">
            <v>Keňská republika</v>
          </cell>
          <cell r="Q110" t="str">
            <v/>
          </cell>
          <cell r="T110" t="str">
            <v/>
          </cell>
          <cell r="W110" t="str">
            <v/>
          </cell>
          <cell r="Z110" t="str">
            <v/>
          </cell>
        </row>
        <row r="111">
          <cell r="H111" t="str">
            <v/>
          </cell>
          <cell r="J111" t="str">
            <v>Republika Kiribati</v>
          </cell>
          <cell r="Q111" t="str">
            <v/>
          </cell>
          <cell r="T111" t="str">
            <v/>
          </cell>
          <cell r="W111" t="str">
            <v/>
          </cell>
          <cell r="Z111" t="str">
            <v/>
          </cell>
        </row>
        <row r="112">
          <cell r="H112" t="str">
            <v/>
          </cell>
          <cell r="J112" t="str">
            <v>Území Kokosové (Keelingovy) ostrovy</v>
          </cell>
          <cell r="Q112" t="str">
            <v/>
          </cell>
          <cell r="T112" t="str">
            <v/>
          </cell>
          <cell r="W112" t="str">
            <v/>
          </cell>
          <cell r="Z112" t="str">
            <v/>
          </cell>
        </row>
        <row r="113">
          <cell r="H113" t="str">
            <v/>
          </cell>
          <cell r="J113" t="str">
            <v>Kolumbijská republika</v>
          </cell>
          <cell r="Q113" t="str">
            <v/>
          </cell>
          <cell r="T113" t="str">
            <v/>
          </cell>
          <cell r="W113" t="str">
            <v/>
          </cell>
          <cell r="Z113" t="str">
            <v/>
          </cell>
        </row>
        <row r="114">
          <cell r="H114" t="str">
            <v/>
          </cell>
          <cell r="J114" t="str">
            <v>Komorský svaz</v>
          </cell>
          <cell r="Q114" t="str">
            <v/>
          </cell>
          <cell r="T114" t="str">
            <v/>
          </cell>
          <cell r="W114" t="str">
            <v/>
          </cell>
          <cell r="Z114" t="str">
            <v/>
          </cell>
        </row>
        <row r="115">
          <cell r="H115" t="str">
            <v/>
          </cell>
          <cell r="J115" t="str">
            <v>Konžská republika</v>
          </cell>
          <cell r="Q115" t="str">
            <v/>
          </cell>
          <cell r="T115" t="str">
            <v/>
          </cell>
          <cell r="W115" t="str">
            <v/>
          </cell>
          <cell r="Z115" t="str">
            <v/>
          </cell>
        </row>
        <row r="116">
          <cell r="H116" t="str">
            <v/>
          </cell>
          <cell r="J116" t="str">
            <v>Korejská lidově demokratická republika</v>
          </cell>
          <cell r="Q116" t="str">
            <v/>
          </cell>
          <cell r="T116" t="str">
            <v/>
          </cell>
          <cell r="W116" t="str">
            <v/>
          </cell>
          <cell r="Z116" t="str">
            <v/>
          </cell>
        </row>
        <row r="117">
          <cell r="H117" t="str">
            <v/>
          </cell>
          <cell r="J117" t="str">
            <v>Korejská republika</v>
          </cell>
          <cell r="Q117" t="str">
            <v/>
          </cell>
          <cell r="T117" t="str">
            <v/>
          </cell>
          <cell r="W117" t="str">
            <v/>
          </cell>
          <cell r="Z117" t="str">
            <v/>
          </cell>
        </row>
        <row r="118">
          <cell r="H118" t="str">
            <v/>
          </cell>
          <cell r="J118" t="str">
            <v>Kosovská republika</v>
          </cell>
          <cell r="Q118" t="str">
            <v/>
          </cell>
          <cell r="T118" t="str">
            <v/>
          </cell>
          <cell r="W118" t="str">
            <v/>
          </cell>
          <cell r="Z118" t="str">
            <v/>
          </cell>
        </row>
        <row r="119">
          <cell r="H119" t="str">
            <v/>
          </cell>
          <cell r="J119" t="str">
            <v>Kostarická republika</v>
          </cell>
          <cell r="Q119" t="str">
            <v/>
          </cell>
          <cell r="T119" t="str">
            <v/>
          </cell>
          <cell r="W119" t="str">
            <v/>
          </cell>
          <cell r="Z119" t="str">
            <v/>
          </cell>
        </row>
        <row r="120">
          <cell r="H120" t="str">
            <v/>
          </cell>
          <cell r="J120" t="str">
            <v>Kubánská republika</v>
          </cell>
          <cell r="Q120" t="str">
            <v/>
          </cell>
          <cell r="T120" t="str">
            <v/>
          </cell>
          <cell r="W120" t="str">
            <v/>
          </cell>
          <cell r="Z120" t="str">
            <v/>
          </cell>
        </row>
        <row r="121">
          <cell r="H121" t="str">
            <v/>
          </cell>
          <cell r="J121" t="str">
            <v>Kuvajtský stát</v>
          </cell>
          <cell r="Q121" t="str">
            <v/>
          </cell>
          <cell r="T121" t="str">
            <v/>
          </cell>
          <cell r="W121" t="str">
            <v/>
          </cell>
          <cell r="Z121" t="str">
            <v/>
          </cell>
        </row>
        <row r="122">
          <cell r="H122" t="str">
            <v/>
          </cell>
          <cell r="J122" t="str">
            <v>Kyperská republika</v>
          </cell>
          <cell r="Q122" t="str">
            <v/>
          </cell>
          <cell r="T122" t="str">
            <v/>
          </cell>
          <cell r="W122" t="str">
            <v/>
          </cell>
          <cell r="Z122" t="str">
            <v/>
          </cell>
        </row>
        <row r="123">
          <cell r="H123" t="str">
            <v/>
          </cell>
          <cell r="J123" t="str">
            <v>Kyrgyzská republika</v>
          </cell>
          <cell r="Q123" t="str">
            <v/>
          </cell>
          <cell r="T123" t="str">
            <v/>
          </cell>
          <cell r="W123" t="str">
            <v/>
          </cell>
          <cell r="Z123" t="str">
            <v/>
          </cell>
        </row>
        <row r="124">
          <cell r="H124" t="str">
            <v/>
          </cell>
          <cell r="J124" t="str">
            <v>Laoská lidově demokratická republika</v>
          </cell>
          <cell r="Q124" t="str">
            <v/>
          </cell>
          <cell r="T124" t="str">
            <v/>
          </cell>
          <cell r="W124" t="str">
            <v/>
          </cell>
          <cell r="Z124" t="str">
            <v/>
          </cell>
        </row>
        <row r="125">
          <cell r="H125" t="str">
            <v/>
          </cell>
          <cell r="J125" t="str">
            <v>Lesothské království</v>
          </cell>
          <cell r="Q125" t="str">
            <v/>
          </cell>
          <cell r="T125" t="str">
            <v/>
          </cell>
          <cell r="W125" t="str">
            <v/>
          </cell>
          <cell r="Z125" t="str">
            <v/>
          </cell>
        </row>
        <row r="126">
          <cell r="H126" t="str">
            <v/>
          </cell>
          <cell r="J126" t="str">
            <v>Libanonská republika</v>
          </cell>
          <cell r="Q126" t="str">
            <v/>
          </cell>
          <cell r="T126" t="str">
            <v/>
          </cell>
          <cell r="W126" t="str">
            <v/>
          </cell>
          <cell r="Z126" t="str">
            <v/>
          </cell>
        </row>
        <row r="127">
          <cell r="H127" t="str">
            <v/>
          </cell>
          <cell r="J127" t="str">
            <v>Liberijská republika</v>
          </cell>
          <cell r="Q127" t="str">
            <v/>
          </cell>
          <cell r="T127" t="str">
            <v/>
          </cell>
          <cell r="W127" t="str">
            <v/>
          </cell>
          <cell r="Z127" t="str">
            <v/>
          </cell>
        </row>
        <row r="128">
          <cell r="H128" t="str">
            <v/>
          </cell>
          <cell r="J128" t="str">
            <v>Libyjský stát</v>
          </cell>
          <cell r="Q128" t="str">
            <v/>
          </cell>
          <cell r="T128" t="str">
            <v/>
          </cell>
          <cell r="W128" t="str">
            <v/>
          </cell>
          <cell r="Z128" t="str">
            <v/>
          </cell>
        </row>
        <row r="129">
          <cell r="H129" t="str">
            <v/>
          </cell>
          <cell r="J129" t="str">
            <v>Lichtenštejnské knížectví</v>
          </cell>
          <cell r="Q129" t="str">
            <v/>
          </cell>
          <cell r="T129" t="str">
            <v/>
          </cell>
          <cell r="W129" t="str">
            <v/>
          </cell>
          <cell r="Z129" t="str">
            <v/>
          </cell>
        </row>
        <row r="130">
          <cell r="H130" t="str">
            <v/>
          </cell>
          <cell r="J130" t="str">
            <v>Litevská republika</v>
          </cell>
          <cell r="Q130" t="str">
            <v/>
          </cell>
          <cell r="T130" t="str">
            <v/>
          </cell>
          <cell r="W130" t="str">
            <v/>
          </cell>
          <cell r="Z130" t="str">
            <v/>
          </cell>
        </row>
        <row r="131">
          <cell r="H131" t="str">
            <v/>
          </cell>
          <cell r="J131" t="str">
            <v>Lotyšská republika</v>
          </cell>
          <cell r="Q131" t="str">
            <v/>
          </cell>
          <cell r="T131" t="str">
            <v/>
          </cell>
          <cell r="W131" t="str">
            <v/>
          </cell>
          <cell r="Z131" t="str">
            <v/>
          </cell>
        </row>
        <row r="132">
          <cell r="H132" t="str">
            <v/>
          </cell>
          <cell r="J132" t="str">
            <v>Lucemburské velkovévodství</v>
          </cell>
          <cell r="Q132" t="str">
            <v/>
          </cell>
          <cell r="T132" t="str">
            <v/>
          </cell>
          <cell r="W132" t="str">
            <v/>
          </cell>
          <cell r="Z132" t="str">
            <v/>
          </cell>
        </row>
        <row r="133">
          <cell r="H133" t="str">
            <v/>
          </cell>
          <cell r="J133" t="str">
            <v>Zvláštní administrativní oblast Čínské lidové republiky Macao</v>
          </cell>
          <cell r="Q133" t="str">
            <v/>
          </cell>
          <cell r="T133" t="str">
            <v/>
          </cell>
          <cell r="W133" t="str">
            <v/>
          </cell>
          <cell r="Z133" t="str">
            <v/>
          </cell>
        </row>
        <row r="134">
          <cell r="H134" t="str">
            <v/>
          </cell>
          <cell r="J134" t="str">
            <v>Madagaskarská republika</v>
          </cell>
          <cell r="Q134" t="str">
            <v/>
          </cell>
          <cell r="T134" t="str">
            <v/>
          </cell>
          <cell r="W134" t="str">
            <v/>
          </cell>
          <cell r="Z134" t="str">
            <v/>
          </cell>
        </row>
        <row r="135">
          <cell r="H135" t="str">
            <v/>
          </cell>
          <cell r="J135" t="str">
            <v>Maďarsko</v>
          </cell>
          <cell r="Q135" t="str">
            <v/>
          </cell>
          <cell r="T135" t="str">
            <v/>
          </cell>
          <cell r="W135" t="str">
            <v/>
          </cell>
          <cell r="Z135" t="str">
            <v/>
          </cell>
        </row>
        <row r="136">
          <cell r="H136" t="str">
            <v/>
          </cell>
          <cell r="J136" t="str">
            <v>Bývalá jugoslávská republika Makedonie</v>
          </cell>
          <cell r="Q136" t="str">
            <v/>
          </cell>
          <cell r="T136" t="str">
            <v/>
          </cell>
          <cell r="W136" t="str">
            <v/>
          </cell>
          <cell r="Z136" t="str">
            <v/>
          </cell>
        </row>
        <row r="137">
          <cell r="H137" t="str">
            <v/>
          </cell>
          <cell r="J137" t="str">
            <v>Malajsie</v>
          </cell>
          <cell r="Q137" t="str">
            <v/>
          </cell>
          <cell r="T137" t="str">
            <v/>
          </cell>
          <cell r="W137" t="str">
            <v/>
          </cell>
          <cell r="Z137" t="str">
            <v/>
          </cell>
        </row>
        <row r="138">
          <cell r="H138" t="str">
            <v/>
          </cell>
          <cell r="J138" t="str">
            <v>Malawiská republika</v>
          </cell>
          <cell r="Q138" t="str">
            <v/>
          </cell>
          <cell r="T138" t="str">
            <v/>
          </cell>
          <cell r="W138" t="str">
            <v/>
          </cell>
          <cell r="Z138" t="str">
            <v/>
          </cell>
        </row>
        <row r="139">
          <cell r="H139" t="str">
            <v/>
          </cell>
          <cell r="J139" t="str">
            <v>Maledivská republika</v>
          </cell>
          <cell r="Q139" t="str">
            <v/>
          </cell>
          <cell r="T139" t="str">
            <v/>
          </cell>
          <cell r="W139" t="str">
            <v/>
          </cell>
          <cell r="Z139" t="str">
            <v/>
          </cell>
        </row>
        <row r="140">
          <cell r="H140" t="str">
            <v/>
          </cell>
          <cell r="J140" t="str">
            <v>Republika Mali</v>
          </cell>
          <cell r="Q140" t="str">
            <v/>
          </cell>
          <cell r="T140" t="str">
            <v/>
          </cell>
          <cell r="W140" t="str">
            <v/>
          </cell>
          <cell r="Z140" t="str">
            <v/>
          </cell>
        </row>
        <row r="141">
          <cell r="H141" t="str">
            <v/>
          </cell>
          <cell r="J141" t="str">
            <v>Maltská republika</v>
          </cell>
          <cell r="Q141" t="str">
            <v/>
          </cell>
          <cell r="T141" t="str">
            <v/>
          </cell>
          <cell r="W141" t="str">
            <v/>
          </cell>
          <cell r="Z141" t="str">
            <v/>
          </cell>
        </row>
        <row r="142">
          <cell r="H142" t="str">
            <v/>
          </cell>
          <cell r="J142" t="str">
            <v>Ostrov Man</v>
          </cell>
          <cell r="Q142" t="str">
            <v/>
          </cell>
          <cell r="T142" t="str">
            <v/>
          </cell>
          <cell r="W142" t="str">
            <v/>
          </cell>
          <cell r="Z142" t="str">
            <v/>
          </cell>
        </row>
        <row r="143">
          <cell r="H143" t="str">
            <v/>
          </cell>
          <cell r="J143" t="str">
            <v>Marocké království</v>
          </cell>
          <cell r="Q143" t="str">
            <v/>
          </cell>
          <cell r="T143" t="str">
            <v/>
          </cell>
          <cell r="W143" t="str">
            <v/>
          </cell>
          <cell r="Z143" t="str">
            <v/>
          </cell>
        </row>
        <row r="144">
          <cell r="H144" t="str">
            <v/>
          </cell>
          <cell r="J144" t="str">
            <v>Republika Marshallovy ostrovy</v>
          </cell>
          <cell r="Q144" t="str">
            <v/>
          </cell>
          <cell r="T144" t="str">
            <v/>
          </cell>
          <cell r="W144" t="str">
            <v/>
          </cell>
          <cell r="Z144" t="str">
            <v/>
          </cell>
        </row>
        <row r="145">
          <cell r="H145" t="str">
            <v/>
          </cell>
          <cell r="J145" t="str">
            <v>Region Martinik</v>
          </cell>
          <cell r="Q145" t="str">
            <v/>
          </cell>
          <cell r="T145" t="str">
            <v/>
          </cell>
          <cell r="W145" t="str">
            <v/>
          </cell>
          <cell r="Z145" t="str">
            <v/>
          </cell>
        </row>
        <row r="146">
          <cell r="H146" t="str">
            <v/>
          </cell>
          <cell r="J146" t="str">
            <v>Mauricijská republika</v>
          </cell>
          <cell r="Q146" t="str">
            <v/>
          </cell>
          <cell r="T146" t="str">
            <v/>
          </cell>
          <cell r="W146" t="str">
            <v/>
          </cell>
          <cell r="Z146" t="str">
            <v/>
          </cell>
        </row>
        <row r="147">
          <cell r="H147" t="str">
            <v/>
          </cell>
          <cell r="J147" t="str">
            <v>Mauritánská islámská republika</v>
          </cell>
          <cell r="Q147" t="str">
            <v/>
          </cell>
          <cell r="T147" t="str">
            <v/>
          </cell>
          <cell r="W147" t="str">
            <v/>
          </cell>
          <cell r="Z147" t="str">
            <v/>
          </cell>
        </row>
        <row r="148">
          <cell r="H148" t="str">
            <v/>
          </cell>
          <cell r="J148" t="str">
            <v>Departementní společenství Mayotte</v>
          </cell>
          <cell r="Q148" t="str">
            <v/>
          </cell>
          <cell r="T148" t="str">
            <v/>
          </cell>
          <cell r="W148" t="str">
            <v/>
          </cell>
          <cell r="Z148" t="str">
            <v/>
          </cell>
        </row>
        <row r="149">
          <cell r="H149" t="str">
            <v/>
          </cell>
          <cell r="J149" t="str">
            <v>Menší odlehlé ostrovy USA</v>
          </cell>
          <cell r="Q149" t="str">
            <v/>
          </cell>
          <cell r="T149" t="str">
            <v/>
          </cell>
          <cell r="W149" t="str">
            <v/>
          </cell>
          <cell r="Z149" t="str">
            <v/>
          </cell>
        </row>
        <row r="150">
          <cell r="H150" t="str">
            <v/>
          </cell>
          <cell r="J150" t="str">
            <v>Spojené státy mexické</v>
          </cell>
          <cell r="Q150" t="str">
            <v/>
          </cell>
          <cell r="T150" t="str">
            <v/>
          </cell>
          <cell r="W150" t="str">
            <v/>
          </cell>
          <cell r="Z150" t="str">
            <v/>
          </cell>
        </row>
        <row r="151">
          <cell r="H151" t="str">
            <v/>
          </cell>
          <cell r="J151" t="str">
            <v>Federativní státy Mikronésie</v>
          </cell>
          <cell r="Q151" t="str">
            <v/>
          </cell>
          <cell r="T151" t="str">
            <v/>
          </cell>
          <cell r="W151" t="str">
            <v/>
          </cell>
          <cell r="Z151" t="str">
            <v/>
          </cell>
        </row>
        <row r="152">
          <cell r="H152" t="str">
            <v/>
          </cell>
          <cell r="J152" t="str">
            <v>Moldavská republika</v>
          </cell>
          <cell r="Q152" t="str">
            <v/>
          </cell>
          <cell r="T152" t="str">
            <v/>
          </cell>
          <cell r="W152" t="str">
            <v/>
          </cell>
          <cell r="Z152" t="str">
            <v/>
          </cell>
        </row>
        <row r="153">
          <cell r="H153" t="str">
            <v/>
          </cell>
          <cell r="J153" t="str">
            <v>Monacké knížectví</v>
          </cell>
          <cell r="Q153" t="str">
            <v/>
          </cell>
          <cell r="T153" t="str">
            <v/>
          </cell>
          <cell r="W153" t="str">
            <v/>
          </cell>
          <cell r="Z153" t="str">
            <v/>
          </cell>
        </row>
        <row r="154">
          <cell r="H154" t="str">
            <v/>
          </cell>
          <cell r="J154" t="str">
            <v>Mongolsko</v>
          </cell>
          <cell r="Q154" t="str">
            <v/>
          </cell>
          <cell r="T154" t="str">
            <v/>
          </cell>
          <cell r="W154" t="str">
            <v/>
          </cell>
          <cell r="Z154" t="str">
            <v/>
          </cell>
        </row>
        <row r="155">
          <cell r="H155" t="str">
            <v/>
          </cell>
          <cell r="J155" t="str">
            <v>Montserrat</v>
          </cell>
          <cell r="Q155" t="str">
            <v/>
          </cell>
          <cell r="T155" t="str">
            <v/>
          </cell>
          <cell r="W155" t="str">
            <v/>
          </cell>
          <cell r="Z155" t="str">
            <v/>
          </cell>
        </row>
        <row r="156">
          <cell r="H156" t="str">
            <v/>
          </cell>
          <cell r="J156" t="str">
            <v>Mosambická republika</v>
          </cell>
          <cell r="Q156" t="str">
            <v/>
          </cell>
          <cell r="T156" t="str">
            <v/>
          </cell>
          <cell r="W156" t="str">
            <v/>
          </cell>
          <cell r="Z156" t="str">
            <v/>
          </cell>
        </row>
        <row r="157">
          <cell r="H157" t="str">
            <v/>
          </cell>
          <cell r="J157" t="str">
            <v>Republika Myanmarský svaz</v>
          </cell>
          <cell r="Q157" t="str">
            <v/>
          </cell>
          <cell r="T157" t="str">
            <v/>
          </cell>
          <cell r="W157" t="str">
            <v/>
          </cell>
          <cell r="Z157" t="str">
            <v/>
          </cell>
        </row>
        <row r="158">
          <cell r="H158" t="str">
            <v/>
          </cell>
          <cell r="J158" t="str">
            <v>Namibijská republika</v>
          </cell>
          <cell r="Q158" t="str">
            <v/>
          </cell>
          <cell r="T158" t="str">
            <v/>
          </cell>
          <cell r="W158" t="str">
            <v/>
          </cell>
          <cell r="Z158" t="str">
            <v/>
          </cell>
        </row>
        <row r="159">
          <cell r="H159" t="str">
            <v/>
          </cell>
          <cell r="J159" t="str">
            <v>Republika Nauru</v>
          </cell>
          <cell r="Q159" t="str">
            <v/>
          </cell>
          <cell r="T159" t="str">
            <v/>
          </cell>
          <cell r="W159" t="str">
            <v/>
          </cell>
          <cell r="Z159" t="str">
            <v/>
          </cell>
        </row>
        <row r="160">
          <cell r="H160" t="str">
            <v/>
          </cell>
          <cell r="J160" t="str">
            <v>Spolková republika Německo</v>
          </cell>
          <cell r="Q160" t="str">
            <v/>
          </cell>
          <cell r="T160" t="str">
            <v/>
          </cell>
          <cell r="W160" t="str">
            <v/>
          </cell>
          <cell r="Z160" t="str">
            <v/>
          </cell>
        </row>
        <row r="161">
          <cell r="H161" t="str">
            <v/>
          </cell>
          <cell r="J161" t="str">
            <v>Nepálská federativní demokratická republika</v>
          </cell>
          <cell r="Q161" t="str">
            <v/>
          </cell>
          <cell r="T161" t="str">
            <v/>
          </cell>
          <cell r="W161" t="str">
            <v/>
          </cell>
          <cell r="Z161" t="str">
            <v/>
          </cell>
        </row>
        <row r="162">
          <cell r="H162" t="str">
            <v/>
          </cell>
          <cell r="J162" t="str">
            <v>Nigerská republika</v>
          </cell>
          <cell r="Q162" t="str">
            <v/>
          </cell>
          <cell r="T162" t="str">
            <v/>
          </cell>
          <cell r="W162" t="str">
            <v/>
          </cell>
          <cell r="Z162" t="str">
            <v/>
          </cell>
        </row>
        <row r="163">
          <cell r="H163" t="str">
            <v/>
          </cell>
          <cell r="J163" t="str">
            <v>Nigerijská federativní republika</v>
          </cell>
          <cell r="Q163" t="str">
            <v/>
          </cell>
          <cell r="T163" t="str">
            <v/>
          </cell>
          <cell r="W163" t="str">
            <v/>
          </cell>
          <cell r="Z163" t="str">
            <v/>
          </cell>
        </row>
        <row r="164">
          <cell r="H164" t="str">
            <v/>
          </cell>
          <cell r="J164" t="str">
            <v>Nikaragujská republika</v>
          </cell>
          <cell r="Q164" t="str">
            <v/>
          </cell>
          <cell r="T164" t="str">
            <v/>
          </cell>
          <cell r="W164" t="str">
            <v/>
          </cell>
          <cell r="Z164" t="str">
            <v/>
          </cell>
        </row>
        <row r="165">
          <cell r="H165" t="str">
            <v/>
          </cell>
          <cell r="J165" t="str">
            <v>Niue</v>
          </cell>
          <cell r="Q165" t="str">
            <v/>
          </cell>
          <cell r="T165" t="str">
            <v/>
          </cell>
          <cell r="W165" t="str">
            <v/>
          </cell>
          <cell r="Z165" t="str">
            <v/>
          </cell>
        </row>
        <row r="166">
          <cell r="H166" t="str">
            <v/>
          </cell>
          <cell r="J166" t="str">
            <v>Nizozemsko</v>
          </cell>
          <cell r="Q166" t="str">
            <v/>
          </cell>
          <cell r="T166" t="str">
            <v/>
          </cell>
          <cell r="W166" t="str">
            <v/>
          </cell>
          <cell r="Z166" t="str">
            <v/>
          </cell>
        </row>
        <row r="167">
          <cell r="H167" t="str">
            <v/>
          </cell>
          <cell r="J167" t="str">
            <v>Území Norfolk</v>
          </cell>
          <cell r="Q167" t="str">
            <v/>
          </cell>
          <cell r="T167" t="str">
            <v/>
          </cell>
          <cell r="W167" t="str">
            <v/>
          </cell>
          <cell r="Z167" t="str">
            <v/>
          </cell>
        </row>
        <row r="168">
          <cell r="H168" t="str">
            <v/>
          </cell>
          <cell r="J168" t="str">
            <v>Norské království</v>
          </cell>
          <cell r="Q168" t="str">
            <v/>
          </cell>
          <cell r="T168" t="str">
            <v/>
          </cell>
          <cell r="W168" t="str">
            <v/>
          </cell>
          <cell r="Z168" t="str">
            <v/>
          </cell>
        </row>
        <row r="169">
          <cell r="H169" t="str">
            <v/>
          </cell>
          <cell r="J169" t="str">
            <v>Nová Kaledonie</v>
          </cell>
          <cell r="Q169" t="str">
            <v/>
          </cell>
          <cell r="T169" t="str">
            <v/>
          </cell>
          <cell r="W169" t="str">
            <v/>
          </cell>
          <cell r="Z169" t="str">
            <v/>
          </cell>
        </row>
        <row r="170">
          <cell r="H170" t="str">
            <v/>
          </cell>
          <cell r="J170" t="str">
            <v>Nový Zéland</v>
          </cell>
          <cell r="Q170" t="str">
            <v/>
          </cell>
          <cell r="T170" t="str">
            <v/>
          </cell>
          <cell r="W170" t="str">
            <v/>
          </cell>
          <cell r="Z170" t="str">
            <v/>
          </cell>
        </row>
        <row r="171">
          <cell r="H171" t="str">
            <v/>
          </cell>
          <cell r="J171" t="str">
            <v>Sultanát Omán</v>
          </cell>
          <cell r="Q171" t="str">
            <v/>
          </cell>
          <cell r="T171" t="str">
            <v/>
          </cell>
          <cell r="W171" t="str">
            <v/>
          </cell>
          <cell r="Z171" t="str">
            <v/>
          </cell>
        </row>
        <row r="172">
          <cell r="H172" t="str">
            <v/>
          </cell>
          <cell r="J172" t="str">
            <v>Pákistánská islámská republika</v>
          </cell>
          <cell r="Q172" t="str">
            <v/>
          </cell>
          <cell r="T172" t="str">
            <v/>
          </cell>
          <cell r="W172" t="str">
            <v/>
          </cell>
          <cell r="Z172" t="str">
            <v/>
          </cell>
        </row>
        <row r="173">
          <cell r="H173" t="str">
            <v/>
          </cell>
          <cell r="J173" t="str">
            <v>Republika Palau</v>
          </cell>
          <cell r="Q173" t="str">
            <v/>
          </cell>
          <cell r="T173" t="str">
            <v/>
          </cell>
          <cell r="W173" t="str">
            <v/>
          </cell>
          <cell r="Z173" t="str">
            <v/>
          </cell>
        </row>
        <row r="174">
          <cell r="H174" t="str">
            <v/>
          </cell>
          <cell r="J174" t="str">
            <v>Palestinská autonomní území</v>
          </cell>
          <cell r="Q174" t="str">
            <v/>
          </cell>
          <cell r="T174" t="str">
            <v/>
          </cell>
          <cell r="W174" t="str">
            <v/>
          </cell>
          <cell r="Z174" t="str">
            <v/>
          </cell>
        </row>
        <row r="175">
          <cell r="H175" t="str">
            <v/>
          </cell>
          <cell r="J175" t="str">
            <v>Panamská republika</v>
          </cell>
          <cell r="Q175" t="str">
            <v/>
          </cell>
          <cell r="T175" t="str">
            <v/>
          </cell>
          <cell r="W175" t="str">
            <v/>
          </cell>
          <cell r="Z175" t="str">
            <v/>
          </cell>
        </row>
        <row r="176">
          <cell r="H176" t="str">
            <v/>
          </cell>
          <cell r="J176" t="str">
            <v>Nezávislý stát Papua Nová Guinea</v>
          </cell>
          <cell r="Q176" t="str">
            <v/>
          </cell>
          <cell r="T176" t="str">
            <v/>
          </cell>
          <cell r="W176" t="str">
            <v/>
          </cell>
          <cell r="Z176" t="str">
            <v/>
          </cell>
        </row>
        <row r="177">
          <cell r="H177" t="str">
            <v/>
          </cell>
          <cell r="J177" t="str">
            <v>Paraguayská republika</v>
          </cell>
          <cell r="Q177" t="str">
            <v/>
          </cell>
          <cell r="T177" t="str">
            <v/>
          </cell>
          <cell r="W177" t="str">
            <v/>
          </cell>
          <cell r="Z177" t="str">
            <v/>
          </cell>
        </row>
        <row r="178">
          <cell r="H178" t="str">
            <v/>
          </cell>
          <cell r="J178" t="str">
            <v>Peruánská republika</v>
          </cell>
          <cell r="Q178" t="str">
            <v/>
          </cell>
          <cell r="T178" t="str">
            <v/>
          </cell>
          <cell r="W178" t="str">
            <v/>
          </cell>
          <cell r="Z178" t="str">
            <v/>
          </cell>
        </row>
        <row r="179">
          <cell r="H179" t="str">
            <v/>
          </cell>
          <cell r="J179" t="str">
            <v>Pitcairnovy ostrovy</v>
          </cell>
          <cell r="Q179" t="str">
            <v/>
          </cell>
          <cell r="T179" t="str">
            <v/>
          </cell>
          <cell r="W179" t="str">
            <v/>
          </cell>
          <cell r="Z179" t="str">
            <v/>
          </cell>
        </row>
        <row r="180">
          <cell r="H180" t="str">
            <v/>
          </cell>
          <cell r="J180" t="str">
            <v>Republika Pobřeží slonoviny</v>
          </cell>
          <cell r="Q180" t="str">
            <v/>
          </cell>
          <cell r="T180" t="str">
            <v/>
          </cell>
          <cell r="W180" t="str">
            <v/>
          </cell>
          <cell r="Z180" t="str">
            <v/>
          </cell>
        </row>
        <row r="181">
          <cell r="H181" t="str">
            <v/>
          </cell>
          <cell r="J181" t="str">
            <v>Polská republika</v>
          </cell>
          <cell r="Q181" t="str">
            <v/>
          </cell>
          <cell r="T181" t="str">
            <v/>
          </cell>
          <cell r="W181" t="str">
            <v/>
          </cell>
          <cell r="Z181" t="str">
            <v/>
          </cell>
        </row>
        <row r="182">
          <cell r="H182" t="str">
            <v/>
          </cell>
          <cell r="J182" t="str">
            <v>Portorické společenství</v>
          </cell>
          <cell r="Q182" t="str">
            <v/>
          </cell>
          <cell r="T182" t="str">
            <v/>
          </cell>
          <cell r="W182" t="str">
            <v/>
          </cell>
          <cell r="Z182" t="str">
            <v/>
          </cell>
        </row>
        <row r="183">
          <cell r="H183" t="str">
            <v/>
          </cell>
          <cell r="J183" t="str">
            <v>Portugalská republika</v>
          </cell>
          <cell r="Q183" t="str">
            <v/>
          </cell>
          <cell r="T183" t="str">
            <v/>
          </cell>
          <cell r="W183" t="str">
            <v/>
          </cell>
          <cell r="Z183" t="str">
            <v/>
          </cell>
        </row>
        <row r="184">
          <cell r="H184" t="str">
            <v/>
          </cell>
          <cell r="J184" t="str">
            <v>Rakouská republika</v>
          </cell>
          <cell r="Q184" t="str">
            <v/>
          </cell>
          <cell r="T184" t="str">
            <v/>
          </cell>
          <cell r="W184" t="str">
            <v/>
          </cell>
          <cell r="Z184" t="str">
            <v/>
          </cell>
        </row>
        <row r="185">
          <cell r="H185" t="str">
            <v/>
          </cell>
          <cell r="J185" t="str">
            <v>Region Réunion</v>
          </cell>
          <cell r="Q185" t="str">
            <v/>
          </cell>
          <cell r="T185" t="str">
            <v/>
          </cell>
          <cell r="W185" t="str">
            <v/>
          </cell>
          <cell r="Z185" t="str">
            <v/>
          </cell>
        </row>
        <row r="186">
          <cell r="H186" t="str">
            <v/>
          </cell>
          <cell r="J186" t="str">
            <v>Republika Rovníková Guinea</v>
          </cell>
          <cell r="Q186" t="str">
            <v/>
          </cell>
          <cell r="T186" t="str">
            <v/>
          </cell>
          <cell r="W186" t="str">
            <v/>
          </cell>
          <cell r="Z186" t="str">
            <v/>
          </cell>
        </row>
        <row r="187">
          <cell r="H187" t="str">
            <v/>
          </cell>
          <cell r="J187" t="str">
            <v>Rumunsko</v>
          </cell>
          <cell r="Q187" t="str">
            <v/>
          </cell>
          <cell r="T187" t="str">
            <v/>
          </cell>
          <cell r="W187" t="str">
            <v/>
          </cell>
          <cell r="Z187" t="str">
            <v/>
          </cell>
        </row>
        <row r="188">
          <cell r="H188" t="str">
            <v/>
          </cell>
          <cell r="J188" t="str">
            <v>Ruská federace</v>
          </cell>
          <cell r="Q188" t="str">
            <v/>
          </cell>
          <cell r="T188" t="str">
            <v/>
          </cell>
          <cell r="W188" t="str">
            <v/>
          </cell>
          <cell r="Z188" t="str">
            <v/>
          </cell>
        </row>
        <row r="189">
          <cell r="H189" t="str">
            <v/>
          </cell>
          <cell r="J189" t="str">
            <v>Rwandská republika</v>
          </cell>
          <cell r="Q189" t="str">
            <v/>
          </cell>
          <cell r="T189" t="str">
            <v/>
          </cell>
          <cell r="W189" t="str">
            <v/>
          </cell>
          <cell r="Z189" t="str">
            <v/>
          </cell>
        </row>
        <row r="190">
          <cell r="H190" t="str">
            <v/>
          </cell>
          <cell r="J190" t="str">
            <v>Řecká republika</v>
          </cell>
          <cell r="Q190" t="str">
            <v/>
          </cell>
          <cell r="T190" t="str">
            <v/>
          </cell>
          <cell r="W190" t="str">
            <v/>
          </cell>
          <cell r="Z190" t="str">
            <v/>
          </cell>
        </row>
        <row r="191">
          <cell r="H191" t="str">
            <v/>
          </cell>
          <cell r="J191" t="str">
            <v>Územní společenství Saint Pierre a Miquelon</v>
          </cell>
          <cell r="Q191" t="str">
            <v/>
          </cell>
          <cell r="T191" t="str">
            <v/>
          </cell>
          <cell r="W191" t="str">
            <v/>
          </cell>
          <cell r="Z191" t="str">
            <v/>
          </cell>
        </row>
        <row r="192">
          <cell r="H192" t="str">
            <v/>
          </cell>
          <cell r="J192" t="str">
            <v>Salvadorská republika</v>
          </cell>
          <cell r="Q192" t="str">
            <v/>
          </cell>
          <cell r="T192" t="str">
            <v/>
          </cell>
          <cell r="W192" t="str">
            <v/>
          </cell>
          <cell r="Z192" t="str">
            <v/>
          </cell>
        </row>
        <row r="193">
          <cell r="H193" t="str">
            <v/>
          </cell>
          <cell r="J193" t="str">
            <v>Nezávislý stát Samoa</v>
          </cell>
          <cell r="Q193" t="str">
            <v/>
          </cell>
          <cell r="T193" t="str">
            <v/>
          </cell>
          <cell r="W193" t="str">
            <v/>
          </cell>
          <cell r="Z193" t="str">
            <v/>
          </cell>
        </row>
        <row r="194">
          <cell r="H194" t="str">
            <v/>
          </cell>
          <cell r="J194" t="str">
            <v>Republika San Marino</v>
          </cell>
          <cell r="Q194" t="str">
            <v/>
          </cell>
          <cell r="T194" t="str">
            <v/>
          </cell>
          <cell r="W194" t="str">
            <v/>
          </cell>
          <cell r="Z194" t="str">
            <v/>
          </cell>
        </row>
        <row r="195">
          <cell r="H195" t="str">
            <v/>
          </cell>
          <cell r="J195" t="str">
            <v>Království Saúdská Arábie</v>
          </cell>
          <cell r="Q195" t="str">
            <v/>
          </cell>
          <cell r="T195" t="str">
            <v/>
          </cell>
          <cell r="W195" t="str">
            <v/>
          </cell>
          <cell r="Z195" t="str">
            <v/>
          </cell>
        </row>
        <row r="196">
          <cell r="H196" t="str">
            <v/>
          </cell>
          <cell r="J196" t="str">
            <v>Senegalská republika</v>
          </cell>
          <cell r="Q196" t="str">
            <v/>
          </cell>
          <cell r="T196" t="str">
            <v/>
          </cell>
          <cell r="W196" t="str">
            <v/>
          </cell>
          <cell r="Z196" t="str">
            <v/>
          </cell>
        </row>
        <row r="197">
          <cell r="H197" t="str">
            <v/>
          </cell>
          <cell r="J197" t="str">
            <v>Společenství Severní Mariany</v>
          </cell>
          <cell r="Q197" t="str">
            <v/>
          </cell>
          <cell r="T197" t="str">
            <v/>
          </cell>
          <cell r="W197" t="str">
            <v/>
          </cell>
          <cell r="Z197" t="str">
            <v/>
          </cell>
        </row>
        <row r="198">
          <cell r="H198" t="str">
            <v/>
          </cell>
          <cell r="J198" t="str">
            <v>Seychelská republika</v>
          </cell>
          <cell r="Q198" t="str">
            <v/>
          </cell>
          <cell r="T198" t="str">
            <v/>
          </cell>
          <cell r="W198" t="str">
            <v/>
          </cell>
          <cell r="Z198" t="str">
            <v/>
          </cell>
        </row>
        <row r="199">
          <cell r="H199" t="str">
            <v/>
          </cell>
          <cell r="J199" t="str">
            <v>Republika Sierra Leone</v>
          </cell>
          <cell r="Q199" t="str">
            <v/>
          </cell>
          <cell r="T199" t="str">
            <v/>
          </cell>
          <cell r="W199" t="str">
            <v/>
          </cell>
          <cell r="Z199" t="str">
            <v/>
          </cell>
        </row>
        <row r="200">
          <cell r="H200" t="str">
            <v/>
          </cell>
          <cell r="J200" t="str">
            <v>Singapurská republika</v>
          </cell>
          <cell r="Q200" t="str">
            <v/>
          </cell>
          <cell r="T200" t="str">
            <v/>
          </cell>
          <cell r="W200" t="str">
            <v/>
          </cell>
          <cell r="Z200" t="str">
            <v/>
          </cell>
        </row>
        <row r="201">
          <cell r="H201" t="str">
            <v/>
          </cell>
          <cell r="J201" t="str">
            <v>Slovenská republika</v>
          </cell>
          <cell r="Q201" t="str">
            <v/>
          </cell>
          <cell r="T201" t="str">
            <v/>
          </cell>
          <cell r="W201" t="str">
            <v/>
          </cell>
          <cell r="Z201" t="str">
            <v/>
          </cell>
        </row>
        <row r="202">
          <cell r="H202" t="str">
            <v/>
          </cell>
          <cell r="J202" t="str">
            <v>Slovinská republika</v>
          </cell>
          <cell r="Q202" t="str">
            <v/>
          </cell>
          <cell r="T202" t="str">
            <v/>
          </cell>
          <cell r="W202" t="str">
            <v/>
          </cell>
          <cell r="Z202" t="str">
            <v/>
          </cell>
        </row>
        <row r="203">
          <cell r="H203" t="str">
            <v/>
          </cell>
          <cell r="J203" t="str">
            <v>Somálská federativní republika</v>
          </cell>
          <cell r="Q203" t="str">
            <v/>
          </cell>
          <cell r="T203" t="str">
            <v/>
          </cell>
          <cell r="W203" t="str">
            <v/>
          </cell>
          <cell r="Z203" t="str">
            <v/>
          </cell>
        </row>
        <row r="204">
          <cell r="H204" t="str">
            <v/>
          </cell>
          <cell r="J204" t="str">
            <v>Stát Spojené arabské emiráty</v>
          </cell>
          <cell r="Q204" t="str">
            <v/>
          </cell>
          <cell r="T204" t="str">
            <v/>
          </cell>
          <cell r="W204" t="str">
            <v/>
          </cell>
          <cell r="Z204" t="str">
            <v/>
          </cell>
        </row>
        <row r="205">
          <cell r="J205" t="str">
            <v>Spojené státy americké</v>
          </cell>
          <cell r="Q205" t="str">
            <v/>
          </cell>
          <cell r="T205" t="str">
            <v/>
          </cell>
          <cell r="W205" t="str">
            <v/>
          </cell>
          <cell r="Z205" t="str">
            <v/>
          </cell>
        </row>
        <row r="206">
          <cell r="J206" t="str">
            <v>Srbská republika</v>
          </cell>
          <cell r="Q206" t="str">
            <v/>
          </cell>
          <cell r="T206" t="str">
            <v/>
          </cell>
          <cell r="W206" t="str">
            <v/>
          </cell>
          <cell r="Z206" t="str">
            <v/>
          </cell>
        </row>
        <row r="207">
          <cell r="J207" t="str">
            <v>Středoafrická republika</v>
          </cell>
          <cell r="Q207" t="str">
            <v/>
          </cell>
          <cell r="T207" t="str">
            <v/>
          </cell>
          <cell r="W207" t="str">
            <v/>
          </cell>
          <cell r="Z207" t="str">
            <v/>
          </cell>
        </row>
        <row r="208">
          <cell r="J208" t="str">
            <v>Súdánská republika</v>
          </cell>
          <cell r="Q208" t="str">
            <v/>
          </cell>
          <cell r="T208" t="str">
            <v/>
          </cell>
          <cell r="W208" t="str">
            <v/>
          </cell>
          <cell r="Z208" t="str">
            <v/>
          </cell>
        </row>
        <row r="209">
          <cell r="J209" t="str">
            <v>Surinamská republika</v>
          </cell>
          <cell r="Q209" t="str">
            <v/>
          </cell>
          <cell r="T209" t="str">
            <v/>
          </cell>
          <cell r="W209" t="str">
            <v/>
          </cell>
          <cell r="Z209" t="str">
            <v/>
          </cell>
        </row>
        <row r="210">
          <cell r="J210" t="str">
            <v>Svatá Helena, Ascension a Tristan da Cunha</v>
          </cell>
          <cell r="Q210" t="str">
            <v/>
          </cell>
          <cell r="T210" t="str">
            <v/>
          </cell>
          <cell r="W210" t="str">
            <v/>
          </cell>
          <cell r="Z210" t="str">
            <v/>
          </cell>
        </row>
        <row r="211">
          <cell r="J211" t="str">
            <v>Svatá Lucie</v>
          </cell>
          <cell r="Q211" t="str">
            <v/>
          </cell>
          <cell r="T211" t="str">
            <v/>
          </cell>
          <cell r="W211" t="str">
            <v/>
          </cell>
          <cell r="Z211" t="str">
            <v/>
          </cell>
        </row>
        <row r="212">
          <cell r="J212" t="str">
            <v>Společenství Svatý Bartoloměj</v>
          </cell>
          <cell r="Q212" t="str">
            <v/>
          </cell>
          <cell r="T212" t="str">
            <v/>
          </cell>
          <cell r="W212" t="str">
            <v/>
          </cell>
          <cell r="Z212" t="str">
            <v/>
          </cell>
        </row>
        <row r="213">
          <cell r="J213" t="str">
            <v>Federace Svatý Kryštof a Nevis</v>
          </cell>
          <cell r="Q213" t="str">
            <v/>
          </cell>
          <cell r="T213" t="str">
            <v/>
          </cell>
          <cell r="W213" t="str">
            <v/>
          </cell>
          <cell r="Z213" t="str">
            <v/>
          </cell>
        </row>
        <row r="214">
          <cell r="J214" t="str">
            <v>Společenství Svatý Martin</v>
          </cell>
          <cell r="Q214" t="str">
            <v/>
          </cell>
          <cell r="T214" t="str">
            <v/>
          </cell>
          <cell r="W214" t="str">
            <v/>
          </cell>
          <cell r="Z214" t="str">
            <v/>
          </cell>
        </row>
        <row r="215">
          <cell r="J215" t="str">
            <v>Svatý Martin (NL)</v>
          </cell>
          <cell r="Q215" t="str">
            <v/>
          </cell>
          <cell r="T215" t="str">
            <v/>
          </cell>
          <cell r="W215" t="str">
            <v/>
          </cell>
          <cell r="Z215" t="str">
            <v/>
          </cell>
        </row>
        <row r="216">
          <cell r="J216" t="str">
            <v>Demokratická republika Svatý Tomáš a Princův ostrov</v>
          </cell>
          <cell r="Q216" t="str">
            <v/>
          </cell>
          <cell r="T216" t="str">
            <v/>
          </cell>
          <cell r="W216" t="str">
            <v/>
          </cell>
          <cell r="Z216" t="str">
            <v/>
          </cell>
        </row>
        <row r="217">
          <cell r="J217" t="str">
            <v>Svatý Vincenc a Grenadiny</v>
          </cell>
          <cell r="Q217" t="str">
            <v/>
          </cell>
          <cell r="T217" t="str">
            <v/>
          </cell>
          <cell r="W217" t="str">
            <v/>
          </cell>
          <cell r="Z217" t="str">
            <v/>
          </cell>
        </row>
        <row r="218">
          <cell r="J218" t="str">
            <v>Svazijské království</v>
          </cell>
          <cell r="Q218" t="str">
            <v/>
          </cell>
          <cell r="T218" t="str">
            <v/>
          </cell>
          <cell r="W218" t="str">
            <v/>
          </cell>
          <cell r="Z218" t="str">
            <v/>
          </cell>
        </row>
        <row r="219">
          <cell r="J219" t="str">
            <v>Syrská arabská republika</v>
          </cell>
          <cell r="Q219" t="str">
            <v/>
          </cell>
          <cell r="T219" t="str">
            <v/>
          </cell>
          <cell r="W219" t="str">
            <v/>
          </cell>
          <cell r="Z219" t="str">
            <v/>
          </cell>
        </row>
        <row r="220">
          <cell r="J220" t="str">
            <v>Šalomounovy ostrovy</v>
          </cell>
          <cell r="Q220" t="str">
            <v/>
          </cell>
          <cell r="T220" t="str">
            <v/>
          </cell>
          <cell r="W220" t="str">
            <v/>
          </cell>
          <cell r="Z220" t="str">
            <v/>
          </cell>
        </row>
        <row r="221">
          <cell r="J221" t="str">
            <v>Španělské království</v>
          </cell>
          <cell r="Q221" t="str">
            <v/>
          </cell>
          <cell r="T221" t="str">
            <v/>
          </cell>
          <cell r="W221" t="str">
            <v/>
          </cell>
          <cell r="Z221" t="str">
            <v/>
          </cell>
        </row>
        <row r="222">
          <cell r="J222" t="str">
            <v>Špicberky a Jan Mayen</v>
          </cell>
          <cell r="Q222" t="str">
            <v/>
          </cell>
          <cell r="T222" t="str">
            <v/>
          </cell>
          <cell r="W222" t="str">
            <v/>
          </cell>
          <cell r="Z222" t="str">
            <v/>
          </cell>
        </row>
        <row r="223">
          <cell r="J223" t="str">
            <v>Šrílanská demokratická socialistická republika</v>
          </cell>
          <cell r="Q223" t="str">
            <v/>
          </cell>
          <cell r="T223" t="str">
            <v/>
          </cell>
          <cell r="W223" t="str">
            <v/>
          </cell>
          <cell r="Z223" t="str">
            <v/>
          </cell>
        </row>
        <row r="224">
          <cell r="J224" t="str">
            <v>Švédské království</v>
          </cell>
          <cell r="Q224" t="str">
            <v/>
          </cell>
          <cell r="T224" t="str">
            <v/>
          </cell>
          <cell r="W224" t="str">
            <v/>
          </cell>
          <cell r="Z224" t="str">
            <v/>
          </cell>
        </row>
        <row r="225">
          <cell r="J225" t="str">
            <v>Švýcarská konfederace</v>
          </cell>
          <cell r="Q225" t="str">
            <v/>
          </cell>
          <cell r="T225" t="str">
            <v/>
          </cell>
          <cell r="W225" t="str">
            <v/>
          </cell>
          <cell r="Z225" t="str">
            <v/>
          </cell>
        </row>
        <row r="226">
          <cell r="J226" t="str">
            <v>Republika Tádžikistán</v>
          </cell>
          <cell r="Q226" t="str">
            <v/>
          </cell>
          <cell r="T226" t="str">
            <v/>
          </cell>
          <cell r="W226" t="str">
            <v/>
          </cell>
          <cell r="Z226" t="str">
            <v/>
          </cell>
        </row>
        <row r="227">
          <cell r="J227" t="str">
            <v>Tanzanská sjednocená republika</v>
          </cell>
          <cell r="Q227" t="str">
            <v/>
          </cell>
          <cell r="T227" t="str">
            <v/>
          </cell>
          <cell r="W227" t="str">
            <v/>
          </cell>
          <cell r="Z227" t="str">
            <v/>
          </cell>
        </row>
        <row r="228">
          <cell r="J228" t="str">
            <v>Thajské království</v>
          </cell>
          <cell r="Q228" t="str">
            <v/>
          </cell>
          <cell r="T228" t="str">
            <v/>
          </cell>
          <cell r="W228" t="str">
            <v/>
          </cell>
          <cell r="Z228" t="str">
            <v/>
          </cell>
        </row>
        <row r="229">
          <cell r="J229" t="str">
            <v>Čínská republika (Tchaj-wan)</v>
          </cell>
          <cell r="Q229" t="str">
            <v/>
          </cell>
          <cell r="T229" t="str">
            <v/>
          </cell>
          <cell r="W229" t="str">
            <v/>
          </cell>
          <cell r="Z229" t="str">
            <v/>
          </cell>
        </row>
        <row r="230">
          <cell r="J230" t="str">
            <v>Tožská republika</v>
          </cell>
          <cell r="Q230" t="str">
            <v/>
          </cell>
          <cell r="T230" t="str">
            <v/>
          </cell>
          <cell r="W230" t="str">
            <v/>
          </cell>
          <cell r="Z230" t="str">
            <v/>
          </cell>
        </row>
        <row r="231">
          <cell r="J231" t="str">
            <v>Tokelau</v>
          </cell>
          <cell r="Q231" t="str">
            <v/>
          </cell>
          <cell r="T231" t="str">
            <v/>
          </cell>
          <cell r="W231" t="str">
            <v/>
          </cell>
          <cell r="Z231" t="str">
            <v/>
          </cell>
        </row>
        <row r="232">
          <cell r="J232" t="str">
            <v>Království Tonga</v>
          </cell>
          <cell r="Q232" t="str">
            <v/>
          </cell>
          <cell r="T232" t="str">
            <v/>
          </cell>
          <cell r="W232" t="str">
            <v/>
          </cell>
          <cell r="Z232" t="str">
            <v/>
          </cell>
        </row>
        <row r="233">
          <cell r="J233" t="str">
            <v>Republika Trinidad a Tobago</v>
          </cell>
          <cell r="Q233" t="str">
            <v/>
          </cell>
          <cell r="T233" t="str">
            <v/>
          </cell>
          <cell r="W233" t="str">
            <v/>
          </cell>
          <cell r="Z233" t="str">
            <v/>
          </cell>
        </row>
        <row r="234">
          <cell r="J234" t="str">
            <v>Tuniská republika</v>
          </cell>
          <cell r="Q234" t="str">
            <v/>
          </cell>
          <cell r="T234" t="str">
            <v/>
          </cell>
          <cell r="W234" t="str">
            <v/>
          </cell>
          <cell r="Z234" t="str">
            <v/>
          </cell>
        </row>
        <row r="235">
          <cell r="J235" t="str">
            <v>Turecká republika</v>
          </cell>
          <cell r="Q235" t="str">
            <v/>
          </cell>
          <cell r="T235" t="str">
            <v/>
          </cell>
          <cell r="W235" t="str">
            <v/>
          </cell>
          <cell r="Z235" t="str">
            <v/>
          </cell>
        </row>
        <row r="236">
          <cell r="J236" t="str">
            <v>Turkmenistán</v>
          </cell>
          <cell r="Q236" t="str">
            <v/>
          </cell>
          <cell r="T236" t="str">
            <v/>
          </cell>
          <cell r="W236" t="str">
            <v/>
          </cell>
          <cell r="Z236" t="str">
            <v/>
          </cell>
        </row>
        <row r="237">
          <cell r="J237" t="str">
            <v>Ostrovy Turks a Caicos</v>
          </cell>
          <cell r="Q237" t="str">
            <v/>
          </cell>
          <cell r="T237" t="str">
            <v/>
          </cell>
          <cell r="W237" t="str">
            <v/>
          </cell>
          <cell r="Z237" t="str">
            <v/>
          </cell>
        </row>
        <row r="238">
          <cell r="J238" t="str">
            <v>Tuvalu</v>
          </cell>
          <cell r="Q238" t="str">
            <v/>
          </cell>
          <cell r="T238" t="str">
            <v/>
          </cell>
          <cell r="W238" t="str">
            <v/>
          </cell>
          <cell r="Z238" t="str">
            <v/>
          </cell>
        </row>
        <row r="239">
          <cell r="J239" t="str">
            <v>Ugandská republika</v>
          </cell>
          <cell r="Q239" t="str">
            <v/>
          </cell>
          <cell r="T239" t="str">
            <v/>
          </cell>
          <cell r="W239" t="str">
            <v/>
          </cell>
          <cell r="Z239" t="str">
            <v/>
          </cell>
        </row>
        <row r="240">
          <cell r="J240" t="str">
            <v>Ukrajina</v>
          </cell>
          <cell r="Q240" t="str">
            <v/>
          </cell>
          <cell r="T240" t="str">
            <v/>
          </cell>
          <cell r="W240" t="str">
            <v/>
          </cell>
          <cell r="Z240" t="str">
            <v/>
          </cell>
        </row>
        <row r="241">
          <cell r="J241" t="str">
            <v>Uruguayská východní republika</v>
          </cell>
          <cell r="Q241" t="str">
            <v/>
          </cell>
          <cell r="T241" t="str">
            <v/>
          </cell>
          <cell r="W241" t="str">
            <v/>
          </cell>
          <cell r="Z241" t="str">
            <v/>
          </cell>
        </row>
        <row r="242">
          <cell r="J242" t="str">
            <v>Republika Uzbekistán</v>
          </cell>
          <cell r="Q242" t="str">
            <v/>
          </cell>
          <cell r="T242" t="str">
            <v/>
          </cell>
          <cell r="W242" t="str">
            <v/>
          </cell>
          <cell r="Z242" t="str">
            <v/>
          </cell>
        </row>
        <row r="243">
          <cell r="J243" t="str">
            <v>Území Vánoční ostrov</v>
          </cell>
          <cell r="Q243" t="str">
            <v/>
          </cell>
          <cell r="T243" t="str">
            <v/>
          </cell>
          <cell r="W243" t="str">
            <v/>
          </cell>
          <cell r="Z243" t="str">
            <v/>
          </cell>
        </row>
        <row r="244">
          <cell r="J244" t="str">
            <v>Republika Vanuatu</v>
          </cell>
          <cell r="Q244" t="str">
            <v/>
          </cell>
          <cell r="T244" t="str">
            <v/>
          </cell>
          <cell r="W244" t="str">
            <v/>
          </cell>
          <cell r="Z244" t="str">
            <v/>
          </cell>
        </row>
        <row r="245">
          <cell r="J245" t="str">
            <v>Vatikánský městský stát</v>
          </cell>
          <cell r="Q245" t="str">
            <v/>
          </cell>
          <cell r="T245" t="str">
            <v/>
          </cell>
          <cell r="W245" t="str">
            <v/>
          </cell>
          <cell r="Z245" t="str">
            <v/>
          </cell>
        </row>
        <row r="246">
          <cell r="J246" t="str">
            <v>Spojené království Velké Británie a Severního Irska</v>
          </cell>
          <cell r="Q246" t="str">
            <v/>
          </cell>
          <cell r="T246" t="str">
            <v/>
          </cell>
          <cell r="W246" t="str">
            <v/>
          </cell>
          <cell r="Z246" t="str">
            <v/>
          </cell>
        </row>
        <row r="247">
          <cell r="J247" t="str">
            <v>Bolívarovská republika Venezuela</v>
          </cell>
          <cell r="Q247" t="str">
            <v/>
          </cell>
          <cell r="T247" t="str">
            <v/>
          </cell>
          <cell r="W247" t="str">
            <v/>
          </cell>
          <cell r="Z247" t="str">
            <v/>
          </cell>
        </row>
        <row r="248">
          <cell r="J248" t="str">
            <v>Vietnamská socialistická republika</v>
          </cell>
          <cell r="Q248" t="str">
            <v/>
          </cell>
          <cell r="T248" t="str">
            <v/>
          </cell>
          <cell r="W248" t="str">
            <v/>
          </cell>
          <cell r="Z248" t="str">
            <v/>
          </cell>
        </row>
        <row r="249">
          <cell r="J249" t="str">
            <v>Demokratická republika Východní Timor</v>
          </cell>
          <cell r="Q249" t="str">
            <v/>
          </cell>
          <cell r="T249" t="str">
            <v/>
          </cell>
          <cell r="W249" t="str">
            <v/>
          </cell>
          <cell r="Z249" t="str">
            <v/>
          </cell>
        </row>
        <row r="250">
          <cell r="J250" t="str">
            <v>Teritorium Wallisovy ostrovy a Futuna</v>
          </cell>
          <cell r="Q250" t="str">
            <v/>
          </cell>
          <cell r="T250" t="str">
            <v/>
          </cell>
          <cell r="W250" t="str">
            <v/>
          </cell>
          <cell r="Z250" t="str">
            <v/>
          </cell>
        </row>
        <row r="251">
          <cell r="J251" t="str">
            <v>Zambijská republika</v>
          </cell>
          <cell r="Q251" t="str">
            <v/>
          </cell>
          <cell r="T251" t="str">
            <v/>
          </cell>
          <cell r="W251" t="str">
            <v/>
          </cell>
          <cell r="Z251" t="str">
            <v/>
          </cell>
        </row>
        <row r="252">
          <cell r="J252" t="str">
            <v>Saharská arabská demokratická republika</v>
          </cell>
          <cell r="Q252" t="str">
            <v/>
          </cell>
          <cell r="T252" t="str">
            <v/>
          </cell>
          <cell r="W252" t="str">
            <v/>
          </cell>
          <cell r="Z252" t="str">
            <v/>
          </cell>
        </row>
        <row r="253">
          <cell r="J253" t="str">
            <v>Zimbabwská republika</v>
          </cell>
          <cell r="Q253" t="str">
            <v/>
          </cell>
          <cell r="T253" t="str">
            <v/>
          </cell>
          <cell r="W253" t="str">
            <v/>
          </cell>
          <cell r="Z253" t="str">
            <v/>
          </cell>
        </row>
        <row r="254">
          <cell r="Q254" t="str">
            <v/>
          </cell>
          <cell r="T254" t="str">
            <v/>
          </cell>
          <cell r="W254" t="str">
            <v/>
          </cell>
          <cell r="Z254" t="str">
            <v/>
          </cell>
        </row>
        <row r="255">
          <cell r="Q255" t="str">
            <v/>
          </cell>
          <cell r="T255" t="str">
            <v/>
          </cell>
          <cell r="W255" t="str">
            <v/>
          </cell>
          <cell r="Z255" t="str">
            <v/>
          </cell>
        </row>
        <row r="256">
          <cell r="Q256" t="str">
            <v/>
          </cell>
          <cell r="T256" t="str">
            <v/>
          </cell>
          <cell r="W256" t="str">
            <v/>
          </cell>
          <cell r="Z256" t="str">
            <v/>
          </cell>
        </row>
        <row r="257">
          <cell r="Q257" t="str">
            <v/>
          </cell>
          <cell r="T257" t="str">
            <v/>
          </cell>
          <cell r="W257" t="str">
            <v/>
          </cell>
          <cell r="Z257" t="str">
            <v/>
          </cell>
        </row>
        <row r="258">
          <cell r="Q258" t="str">
            <v/>
          </cell>
          <cell r="T258" t="str">
            <v/>
          </cell>
          <cell r="W258" t="str">
            <v/>
          </cell>
          <cell r="Z258" t="str">
            <v/>
          </cell>
        </row>
        <row r="259">
          <cell r="Q259" t="str">
            <v/>
          </cell>
          <cell r="T259" t="str">
            <v/>
          </cell>
          <cell r="W259" t="str">
            <v/>
          </cell>
          <cell r="Z259" t="str">
            <v/>
          </cell>
        </row>
        <row r="260">
          <cell r="Q260" t="str">
            <v/>
          </cell>
          <cell r="T260" t="str">
            <v/>
          </cell>
          <cell r="W260" t="str">
            <v/>
          </cell>
          <cell r="Z260" t="str">
            <v/>
          </cell>
        </row>
        <row r="261">
          <cell r="Q261" t="str">
            <v/>
          </cell>
          <cell r="T261" t="str">
            <v/>
          </cell>
          <cell r="W261" t="str">
            <v/>
          </cell>
          <cell r="Z261" t="str">
            <v/>
          </cell>
        </row>
        <row r="262">
          <cell r="Q262" t="str">
            <v/>
          </cell>
          <cell r="T262" t="str">
            <v/>
          </cell>
          <cell r="W262" t="str">
            <v/>
          </cell>
          <cell r="Z262" t="str">
            <v/>
          </cell>
        </row>
        <row r="263">
          <cell r="Q263" t="str">
            <v/>
          </cell>
          <cell r="T263" t="str">
            <v/>
          </cell>
          <cell r="W263" t="str">
            <v/>
          </cell>
          <cell r="Z263" t="str">
            <v/>
          </cell>
        </row>
        <row r="264">
          <cell r="Q264" t="str">
            <v/>
          </cell>
          <cell r="T264" t="str">
            <v/>
          </cell>
          <cell r="W264" t="str">
            <v/>
          </cell>
          <cell r="Z264" t="str">
            <v/>
          </cell>
        </row>
        <row r="265">
          <cell r="Q265" t="str">
            <v/>
          </cell>
          <cell r="T265" t="str">
            <v/>
          </cell>
          <cell r="W265" t="str">
            <v/>
          </cell>
          <cell r="Z265" t="str">
            <v/>
          </cell>
        </row>
        <row r="266">
          <cell r="Q266" t="str">
            <v/>
          </cell>
          <cell r="T266" t="str">
            <v/>
          </cell>
          <cell r="W266" t="str">
            <v/>
          </cell>
          <cell r="Z266" t="str">
            <v/>
          </cell>
        </row>
        <row r="267">
          <cell r="Q267" t="str">
            <v/>
          </cell>
          <cell r="T267" t="str">
            <v/>
          </cell>
          <cell r="W267" t="str">
            <v/>
          </cell>
          <cell r="Z267" t="str">
            <v/>
          </cell>
        </row>
        <row r="268">
          <cell r="Q268" t="str">
            <v/>
          </cell>
          <cell r="T268" t="str">
            <v/>
          </cell>
          <cell r="W268" t="str">
            <v/>
          </cell>
          <cell r="Z268" t="str">
            <v/>
          </cell>
        </row>
        <row r="269">
          <cell r="Q269" t="str">
            <v/>
          </cell>
          <cell r="T269" t="str">
            <v/>
          </cell>
          <cell r="W269" t="str">
            <v/>
          </cell>
          <cell r="Z269" t="str">
            <v/>
          </cell>
        </row>
        <row r="270">
          <cell r="Q270" t="str">
            <v/>
          </cell>
          <cell r="T270" t="str">
            <v/>
          </cell>
          <cell r="W270" t="str">
            <v/>
          </cell>
          <cell r="Z270" t="str">
            <v/>
          </cell>
        </row>
        <row r="271">
          <cell r="Q271" t="str">
            <v/>
          </cell>
          <cell r="T271" t="str">
            <v/>
          </cell>
          <cell r="W271" t="str">
            <v/>
          </cell>
          <cell r="Z271" t="str">
            <v/>
          </cell>
        </row>
        <row r="272">
          <cell r="Q272" t="str">
            <v/>
          </cell>
          <cell r="T272" t="str">
            <v/>
          </cell>
          <cell r="W272" t="str">
            <v/>
          </cell>
          <cell r="Z272" t="str">
            <v/>
          </cell>
        </row>
        <row r="273">
          <cell r="Q273" t="str">
            <v/>
          </cell>
          <cell r="T273" t="str">
            <v/>
          </cell>
          <cell r="W273" t="str">
            <v/>
          </cell>
          <cell r="Z273" t="str">
            <v/>
          </cell>
        </row>
        <row r="274">
          <cell r="Q274" t="str">
            <v/>
          </cell>
          <cell r="T274" t="str">
            <v/>
          </cell>
          <cell r="W274" t="str">
            <v/>
          </cell>
          <cell r="Z274" t="str">
            <v/>
          </cell>
        </row>
        <row r="275">
          <cell r="Q275" t="str">
            <v/>
          </cell>
          <cell r="T275" t="str">
            <v/>
          </cell>
          <cell r="W275" t="str">
            <v/>
          </cell>
          <cell r="Z275" t="str">
            <v/>
          </cell>
        </row>
        <row r="276">
          <cell r="Q276" t="str">
            <v/>
          </cell>
          <cell r="T276" t="str">
            <v/>
          </cell>
          <cell r="W276" t="str">
            <v/>
          </cell>
          <cell r="Z276" t="str">
            <v/>
          </cell>
        </row>
        <row r="277">
          <cell r="Q277" t="str">
            <v/>
          </cell>
          <cell r="T277" t="str">
            <v/>
          </cell>
          <cell r="W277" t="str">
            <v/>
          </cell>
          <cell r="Z277" t="str">
            <v/>
          </cell>
        </row>
        <row r="278">
          <cell r="Q278" t="str">
            <v/>
          </cell>
          <cell r="T278" t="str">
            <v/>
          </cell>
          <cell r="W278" t="str">
            <v/>
          </cell>
          <cell r="Z278" t="str">
            <v/>
          </cell>
        </row>
        <row r="279">
          <cell r="Q279" t="str">
            <v/>
          </cell>
          <cell r="T279" t="str">
            <v/>
          </cell>
          <cell r="W279" t="str">
            <v/>
          </cell>
          <cell r="Z279" t="str">
            <v/>
          </cell>
        </row>
        <row r="280">
          <cell r="Q280" t="str">
            <v/>
          </cell>
          <cell r="T280" t="str">
            <v/>
          </cell>
          <cell r="W280" t="str">
            <v/>
          </cell>
          <cell r="Z280" t="str">
            <v/>
          </cell>
        </row>
        <row r="281">
          <cell r="Q281" t="str">
            <v/>
          </cell>
          <cell r="T281" t="str">
            <v/>
          </cell>
          <cell r="W281" t="str">
            <v/>
          </cell>
          <cell r="Z281" t="str">
            <v/>
          </cell>
        </row>
        <row r="282">
          <cell r="Q282" t="str">
            <v/>
          </cell>
          <cell r="T282" t="str">
            <v/>
          </cell>
          <cell r="W282" t="str">
            <v/>
          </cell>
          <cell r="Z282" t="str">
            <v/>
          </cell>
        </row>
        <row r="283">
          <cell r="Q283" t="str">
            <v/>
          </cell>
          <cell r="T283" t="str">
            <v/>
          </cell>
          <cell r="W283" t="str">
            <v/>
          </cell>
          <cell r="Z283" t="str">
            <v/>
          </cell>
        </row>
        <row r="284">
          <cell r="Q284" t="str">
            <v/>
          </cell>
          <cell r="T284" t="str">
            <v/>
          </cell>
          <cell r="W284" t="str">
            <v/>
          </cell>
          <cell r="Z284" t="str">
            <v/>
          </cell>
        </row>
        <row r="285">
          <cell r="Q285" t="str">
            <v/>
          </cell>
          <cell r="T285" t="str">
            <v/>
          </cell>
          <cell r="W285" t="str">
            <v/>
          </cell>
          <cell r="Z285" t="str">
            <v/>
          </cell>
        </row>
        <row r="286">
          <cell r="Q286" t="str">
            <v/>
          </cell>
          <cell r="T286" t="str">
            <v/>
          </cell>
          <cell r="W286" t="str">
            <v/>
          </cell>
          <cell r="Z286" t="str">
            <v/>
          </cell>
        </row>
        <row r="287">
          <cell r="Q287" t="str">
            <v/>
          </cell>
          <cell r="T287" t="str">
            <v/>
          </cell>
          <cell r="W287" t="str">
            <v/>
          </cell>
          <cell r="Z287" t="str">
            <v/>
          </cell>
        </row>
        <row r="288">
          <cell r="Q288" t="str">
            <v/>
          </cell>
          <cell r="T288" t="str">
            <v/>
          </cell>
          <cell r="W288" t="str">
            <v/>
          </cell>
          <cell r="Z288" t="str">
            <v/>
          </cell>
        </row>
        <row r="289">
          <cell r="Q289" t="str">
            <v/>
          </cell>
          <cell r="T289" t="str">
            <v/>
          </cell>
          <cell r="W289" t="str">
            <v/>
          </cell>
          <cell r="Z289" t="str">
            <v/>
          </cell>
        </row>
        <row r="290">
          <cell r="Q290" t="str">
            <v/>
          </cell>
          <cell r="T290" t="str">
            <v/>
          </cell>
          <cell r="W290" t="str">
            <v/>
          </cell>
          <cell r="Z290" t="str">
            <v/>
          </cell>
        </row>
        <row r="291">
          <cell r="Q291" t="str">
            <v/>
          </cell>
          <cell r="T291" t="str">
            <v/>
          </cell>
          <cell r="W291" t="str">
            <v/>
          </cell>
          <cell r="Z291" t="str">
            <v/>
          </cell>
        </row>
        <row r="292">
          <cell r="Q292" t="str">
            <v/>
          </cell>
          <cell r="T292" t="str">
            <v/>
          </cell>
          <cell r="W292" t="str">
            <v/>
          </cell>
          <cell r="Z292" t="str">
            <v/>
          </cell>
        </row>
        <row r="293">
          <cell r="Q293" t="str">
            <v/>
          </cell>
          <cell r="T293" t="str">
            <v/>
          </cell>
          <cell r="W293" t="str">
            <v/>
          </cell>
          <cell r="Z293" t="str">
            <v/>
          </cell>
        </row>
        <row r="294">
          <cell r="Q294" t="str">
            <v/>
          </cell>
          <cell r="T294" t="str">
            <v/>
          </cell>
          <cell r="W294" t="str">
            <v/>
          </cell>
          <cell r="Z294" t="str">
            <v/>
          </cell>
        </row>
        <row r="295">
          <cell r="Q295" t="str">
            <v/>
          </cell>
          <cell r="T295" t="str">
            <v/>
          </cell>
          <cell r="W295" t="str">
            <v/>
          </cell>
          <cell r="Z295" t="str">
            <v/>
          </cell>
        </row>
        <row r="296">
          <cell r="Q296" t="str">
            <v/>
          </cell>
          <cell r="T296" t="str">
            <v/>
          </cell>
          <cell r="W296" t="str">
            <v/>
          </cell>
          <cell r="Z296" t="str">
            <v/>
          </cell>
        </row>
        <row r="297">
          <cell r="Q297" t="str">
            <v/>
          </cell>
          <cell r="T297" t="str">
            <v/>
          </cell>
          <cell r="W297" t="str">
            <v/>
          </cell>
          <cell r="Z297" t="str">
            <v/>
          </cell>
        </row>
        <row r="298">
          <cell r="Q298" t="str">
            <v/>
          </cell>
          <cell r="T298" t="str">
            <v/>
          </cell>
          <cell r="W298" t="str">
            <v/>
          </cell>
          <cell r="Z298" t="str">
            <v/>
          </cell>
        </row>
        <row r="299">
          <cell r="Q299" t="str">
            <v/>
          </cell>
          <cell r="T299" t="str">
            <v/>
          </cell>
          <cell r="W299" t="str">
            <v/>
          </cell>
          <cell r="Z299" t="str">
            <v/>
          </cell>
        </row>
        <row r="300">
          <cell r="Q300" t="str">
            <v/>
          </cell>
          <cell r="T300" t="str">
            <v/>
          </cell>
          <cell r="W300" t="str">
            <v/>
          </cell>
          <cell r="Z300" t="str">
            <v/>
          </cell>
        </row>
        <row r="301">
          <cell r="Q301" t="str">
            <v/>
          </cell>
          <cell r="T301" t="str">
            <v/>
          </cell>
          <cell r="W301" t="str">
            <v/>
          </cell>
          <cell r="Z301" t="str">
            <v/>
          </cell>
        </row>
        <row r="302">
          <cell r="Q302" t="str">
            <v/>
          </cell>
          <cell r="T302" t="str">
            <v/>
          </cell>
          <cell r="W302" t="str">
            <v/>
          </cell>
          <cell r="Z302" t="str">
            <v/>
          </cell>
        </row>
        <row r="303">
          <cell r="Q303" t="str">
            <v/>
          </cell>
          <cell r="T303" t="str">
            <v/>
          </cell>
          <cell r="W303" t="str">
            <v/>
          </cell>
          <cell r="Z303" t="str">
            <v/>
          </cell>
        </row>
        <row r="304">
          <cell r="Q304" t="str">
            <v/>
          </cell>
          <cell r="T304" t="str">
            <v/>
          </cell>
          <cell r="W304" t="str">
            <v/>
          </cell>
          <cell r="Z304" t="str">
            <v/>
          </cell>
        </row>
        <row r="305">
          <cell r="Q305" t="str">
            <v/>
          </cell>
          <cell r="T305" t="str">
            <v/>
          </cell>
          <cell r="W305" t="str">
            <v/>
          </cell>
          <cell r="Z305" t="str">
            <v/>
          </cell>
        </row>
        <row r="306">
          <cell r="Q306" t="str">
            <v/>
          </cell>
          <cell r="T306" t="str">
            <v/>
          </cell>
          <cell r="W306" t="str">
            <v/>
          </cell>
          <cell r="Z306" t="str">
            <v/>
          </cell>
        </row>
        <row r="307">
          <cell r="Q307" t="str">
            <v/>
          </cell>
          <cell r="T307" t="str">
            <v/>
          </cell>
          <cell r="W307" t="str">
            <v/>
          </cell>
          <cell r="Z307" t="str">
            <v/>
          </cell>
        </row>
        <row r="308">
          <cell r="Q308" t="str">
            <v/>
          </cell>
          <cell r="T308" t="str">
            <v/>
          </cell>
          <cell r="W308" t="str">
            <v/>
          </cell>
          <cell r="Z308" t="str">
            <v/>
          </cell>
        </row>
        <row r="309">
          <cell r="Q309" t="str">
            <v/>
          </cell>
          <cell r="T309" t="str">
            <v/>
          </cell>
          <cell r="W309" t="str">
            <v/>
          </cell>
          <cell r="Z309" t="str">
            <v/>
          </cell>
        </row>
        <row r="310">
          <cell r="Q310" t="str">
            <v/>
          </cell>
          <cell r="T310" t="str">
            <v/>
          </cell>
          <cell r="W310" t="str">
            <v/>
          </cell>
          <cell r="Z310" t="str">
            <v/>
          </cell>
        </row>
        <row r="311">
          <cell r="Q311" t="str">
            <v/>
          </cell>
          <cell r="T311" t="str">
            <v/>
          </cell>
          <cell r="W311" t="str">
            <v/>
          </cell>
          <cell r="Z311" t="str">
            <v/>
          </cell>
        </row>
        <row r="312">
          <cell r="Q312" t="str">
            <v/>
          </cell>
          <cell r="T312" t="str">
            <v/>
          </cell>
          <cell r="W312" t="str">
            <v/>
          </cell>
          <cell r="Z312" t="str">
            <v/>
          </cell>
        </row>
        <row r="313">
          <cell r="Q313" t="str">
            <v/>
          </cell>
          <cell r="T313" t="str">
            <v/>
          </cell>
          <cell r="W313" t="str">
            <v/>
          </cell>
          <cell r="Z313" t="str">
            <v/>
          </cell>
        </row>
        <row r="314">
          <cell r="Q314" t="str">
            <v/>
          </cell>
          <cell r="T314" t="str">
            <v/>
          </cell>
          <cell r="W314" t="str">
            <v/>
          </cell>
          <cell r="Z314" t="str">
            <v/>
          </cell>
        </row>
        <row r="315">
          <cell r="Q315" t="str">
            <v/>
          </cell>
          <cell r="T315" t="str">
            <v/>
          </cell>
          <cell r="W315" t="str">
            <v/>
          </cell>
          <cell r="Z315" t="str">
            <v/>
          </cell>
        </row>
        <row r="316">
          <cell r="Q316" t="str">
            <v/>
          </cell>
          <cell r="T316" t="str">
            <v/>
          </cell>
          <cell r="W316" t="str">
            <v/>
          </cell>
          <cell r="Z316" t="str">
            <v/>
          </cell>
        </row>
        <row r="317">
          <cell r="Q317" t="str">
            <v/>
          </cell>
          <cell r="T317" t="str">
            <v/>
          </cell>
          <cell r="W317" t="str">
            <v/>
          </cell>
          <cell r="Z317" t="str">
            <v/>
          </cell>
        </row>
        <row r="318">
          <cell r="Q318" t="str">
            <v/>
          </cell>
          <cell r="T318" t="str">
            <v/>
          </cell>
          <cell r="W318" t="str">
            <v/>
          </cell>
          <cell r="Z318" t="str">
            <v/>
          </cell>
        </row>
        <row r="319">
          <cell r="Q319" t="str">
            <v/>
          </cell>
          <cell r="T319" t="str">
            <v/>
          </cell>
          <cell r="W319" t="str">
            <v/>
          </cell>
          <cell r="Z319" t="str">
            <v/>
          </cell>
        </row>
        <row r="320">
          <cell r="Q320" t="str">
            <v/>
          </cell>
          <cell r="T320" t="str">
            <v/>
          </cell>
          <cell r="W320" t="str">
            <v/>
          </cell>
          <cell r="Z320" t="str">
            <v/>
          </cell>
        </row>
        <row r="321">
          <cell r="Q321" t="str">
            <v/>
          </cell>
          <cell r="T321" t="str">
            <v/>
          </cell>
          <cell r="W321" t="str">
            <v/>
          </cell>
          <cell r="Z321" t="str">
            <v/>
          </cell>
        </row>
        <row r="322">
          <cell r="Q322" t="str">
            <v/>
          </cell>
          <cell r="T322" t="str">
            <v/>
          </cell>
          <cell r="W322" t="str">
            <v/>
          </cell>
          <cell r="Z322" t="str">
            <v/>
          </cell>
        </row>
        <row r="323">
          <cell r="Q323" t="str">
            <v/>
          </cell>
          <cell r="T323" t="str">
            <v/>
          </cell>
          <cell r="W323" t="str">
            <v/>
          </cell>
          <cell r="Z323" t="str">
            <v/>
          </cell>
        </row>
        <row r="324">
          <cell r="Q324" t="str">
            <v/>
          </cell>
          <cell r="T324" t="str">
            <v/>
          </cell>
          <cell r="W324" t="str">
            <v/>
          </cell>
          <cell r="Z324" t="str">
            <v/>
          </cell>
        </row>
        <row r="325">
          <cell r="Q325" t="str">
            <v/>
          </cell>
          <cell r="T325" t="str">
            <v/>
          </cell>
          <cell r="W325" t="str">
            <v/>
          </cell>
          <cell r="Z325" t="str">
            <v/>
          </cell>
        </row>
        <row r="326">
          <cell r="Q326" t="str">
            <v/>
          </cell>
          <cell r="T326" t="str">
            <v/>
          </cell>
          <cell r="W326" t="str">
            <v/>
          </cell>
          <cell r="Z326" t="str">
            <v/>
          </cell>
        </row>
        <row r="327">
          <cell r="Q327" t="str">
            <v/>
          </cell>
          <cell r="T327" t="str">
            <v/>
          </cell>
          <cell r="W327" t="str">
            <v/>
          </cell>
          <cell r="Z327" t="str">
            <v/>
          </cell>
        </row>
        <row r="328">
          <cell r="Q328" t="str">
            <v/>
          </cell>
          <cell r="T328" t="str">
            <v/>
          </cell>
          <cell r="W328" t="str">
            <v/>
          </cell>
          <cell r="Z328" t="str">
            <v/>
          </cell>
        </row>
        <row r="329">
          <cell r="Q329" t="str">
            <v/>
          </cell>
          <cell r="T329" t="str">
            <v/>
          </cell>
          <cell r="W329" t="str">
            <v/>
          </cell>
          <cell r="Z329" t="str">
            <v/>
          </cell>
        </row>
        <row r="330">
          <cell r="Q330" t="str">
            <v/>
          </cell>
          <cell r="T330" t="str">
            <v/>
          </cell>
          <cell r="W330" t="str">
            <v/>
          </cell>
          <cell r="Z330" t="str">
            <v/>
          </cell>
        </row>
        <row r="331">
          <cell r="Q331" t="str">
            <v/>
          </cell>
          <cell r="T331" t="str">
            <v/>
          </cell>
          <cell r="W331" t="str">
            <v/>
          </cell>
          <cell r="Z331" t="str">
            <v/>
          </cell>
        </row>
        <row r="332">
          <cell r="Q332" t="str">
            <v/>
          </cell>
          <cell r="T332" t="str">
            <v/>
          </cell>
          <cell r="W332" t="str">
            <v/>
          </cell>
          <cell r="Z332" t="str">
            <v/>
          </cell>
        </row>
        <row r="333">
          <cell r="Q333" t="str">
            <v/>
          </cell>
          <cell r="T333" t="str">
            <v/>
          </cell>
          <cell r="W333" t="str">
            <v/>
          </cell>
          <cell r="Z333" t="str">
            <v/>
          </cell>
        </row>
        <row r="334">
          <cell r="Q334" t="str">
            <v/>
          </cell>
          <cell r="T334" t="str">
            <v/>
          </cell>
          <cell r="W334" t="str">
            <v/>
          </cell>
          <cell r="Z334" t="str">
            <v/>
          </cell>
        </row>
        <row r="335">
          <cell r="Q335" t="str">
            <v/>
          </cell>
          <cell r="T335" t="str">
            <v/>
          </cell>
          <cell r="W335" t="str">
            <v/>
          </cell>
          <cell r="Z335" t="str">
            <v/>
          </cell>
        </row>
        <row r="336">
          <cell r="Q336" t="str">
            <v/>
          </cell>
          <cell r="T336" t="str">
            <v/>
          </cell>
          <cell r="W336" t="str">
            <v/>
          </cell>
          <cell r="Z336" t="str">
            <v/>
          </cell>
        </row>
        <row r="337">
          <cell r="Q337" t="str">
            <v/>
          </cell>
          <cell r="T337" t="str">
            <v/>
          </cell>
          <cell r="W337" t="str">
            <v/>
          </cell>
          <cell r="Z337" t="str">
            <v/>
          </cell>
        </row>
        <row r="338">
          <cell r="Q338" t="str">
            <v/>
          </cell>
          <cell r="T338" t="str">
            <v/>
          </cell>
          <cell r="W338" t="str">
            <v/>
          </cell>
          <cell r="Z338" t="str">
            <v/>
          </cell>
        </row>
        <row r="339">
          <cell r="Q339" t="str">
            <v/>
          </cell>
          <cell r="T339" t="str">
            <v/>
          </cell>
          <cell r="W339" t="str">
            <v/>
          </cell>
          <cell r="Z339" t="str">
            <v/>
          </cell>
        </row>
        <row r="340">
          <cell r="Q340" t="str">
            <v/>
          </cell>
          <cell r="T340" t="str">
            <v/>
          </cell>
          <cell r="W340" t="str">
            <v/>
          </cell>
          <cell r="Z340" t="str">
            <v/>
          </cell>
        </row>
        <row r="341">
          <cell r="Q341" t="str">
            <v/>
          </cell>
          <cell r="T341" t="str">
            <v/>
          </cell>
          <cell r="W341" t="str">
            <v/>
          </cell>
          <cell r="Z341" t="str">
            <v/>
          </cell>
        </row>
        <row r="342">
          <cell r="Q342" t="str">
            <v/>
          </cell>
          <cell r="T342" t="str">
            <v/>
          </cell>
          <cell r="W342" t="str">
            <v/>
          </cell>
          <cell r="Z342" t="str">
            <v/>
          </cell>
        </row>
        <row r="343">
          <cell r="Q343" t="str">
            <v/>
          </cell>
          <cell r="T343" t="str">
            <v/>
          </cell>
          <cell r="W343" t="str">
            <v/>
          </cell>
          <cell r="Z343" t="str">
            <v/>
          </cell>
        </row>
        <row r="344">
          <cell r="Q344" t="str">
            <v/>
          </cell>
          <cell r="T344" t="str">
            <v/>
          </cell>
          <cell r="W344" t="str">
            <v/>
          </cell>
          <cell r="Z344" t="str">
            <v/>
          </cell>
        </row>
        <row r="345">
          <cell r="Q345" t="str">
            <v/>
          </cell>
          <cell r="T345" t="str">
            <v/>
          </cell>
          <cell r="W345" t="str">
            <v/>
          </cell>
          <cell r="Z345" t="str">
            <v/>
          </cell>
        </row>
        <row r="346">
          <cell r="Q346" t="str">
            <v/>
          </cell>
          <cell r="T346" t="str">
            <v/>
          </cell>
          <cell r="W346" t="str">
            <v/>
          </cell>
          <cell r="Z346" t="str">
            <v/>
          </cell>
        </row>
        <row r="347">
          <cell r="Q347" t="str">
            <v/>
          </cell>
          <cell r="T347" t="str">
            <v/>
          </cell>
          <cell r="W347" t="str">
            <v/>
          </cell>
          <cell r="Z347" t="str">
            <v/>
          </cell>
        </row>
        <row r="348">
          <cell r="Q348" t="str">
            <v/>
          </cell>
          <cell r="T348" t="str">
            <v/>
          </cell>
          <cell r="W348" t="str">
            <v/>
          </cell>
          <cell r="Z348" t="str">
            <v/>
          </cell>
        </row>
        <row r="349">
          <cell r="Q349" t="str">
            <v/>
          </cell>
          <cell r="T349" t="str">
            <v/>
          </cell>
          <cell r="W349" t="str">
            <v/>
          </cell>
          <cell r="Z349" t="str">
            <v/>
          </cell>
        </row>
        <row r="350">
          <cell r="Q350" t="str">
            <v/>
          </cell>
          <cell r="T350" t="str">
            <v/>
          </cell>
          <cell r="W350" t="str">
            <v/>
          </cell>
          <cell r="Z350" t="str">
            <v/>
          </cell>
        </row>
        <row r="351">
          <cell r="Q351" t="str">
            <v/>
          </cell>
          <cell r="T351" t="str">
            <v/>
          </cell>
          <cell r="W351" t="str">
            <v/>
          </cell>
          <cell r="Z351" t="str">
            <v/>
          </cell>
        </row>
        <row r="352">
          <cell r="Q352" t="str">
            <v/>
          </cell>
          <cell r="T352" t="str">
            <v/>
          </cell>
          <cell r="W352" t="str">
            <v/>
          </cell>
          <cell r="Z352" t="str">
            <v/>
          </cell>
        </row>
        <row r="353">
          <cell r="Q353" t="str">
            <v/>
          </cell>
          <cell r="T353" t="str">
            <v/>
          </cell>
          <cell r="W353" t="str">
            <v/>
          </cell>
          <cell r="Z353" t="str">
            <v/>
          </cell>
        </row>
        <row r="354">
          <cell r="Q354" t="str">
            <v/>
          </cell>
          <cell r="T354" t="str">
            <v/>
          </cell>
          <cell r="W354" t="str">
            <v/>
          </cell>
          <cell r="Z354" t="str">
            <v/>
          </cell>
        </row>
        <row r="355">
          <cell r="Q355" t="str">
            <v/>
          </cell>
          <cell r="T355" t="str">
            <v/>
          </cell>
          <cell r="W355" t="str">
            <v/>
          </cell>
          <cell r="Z355" t="str">
            <v/>
          </cell>
        </row>
        <row r="356">
          <cell r="Q356" t="str">
            <v/>
          </cell>
          <cell r="T356" t="str">
            <v/>
          </cell>
          <cell r="W356" t="str">
            <v/>
          </cell>
          <cell r="Z356" t="str">
            <v/>
          </cell>
        </row>
        <row r="357">
          <cell r="Q357" t="str">
            <v/>
          </cell>
          <cell r="T357" t="str">
            <v/>
          </cell>
          <cell r="W357" t="str">
            <v/>
          </cell>
          <cell r="Z357" t="str">
            <v/>
          </cell>
        </row>
        <row r="358">
          <cell r="Q358" t="str">
            <v/>
          </cell>
          <cell r="T358" t="str">
            <v/>
          </cell>
          <cell r="W358" t="str">
            <v/>
          </cell>
          <cell r="Z358" t="str">
            <v/>
          </cell>
        </row>
        <row r="359">
          <cell r="Q359" t="str">
            <v/>
          </cell>
          <cell r="T359" t="str">
            <v/>
          </cell>
          <cell r="W359" t="str">
            <v/>
          </cell>
          <cell r="Z359" t="str">
            <v/>
          </cell>
        </row>
        <row r="360">
          <cell r="Q360" t="str">
            <v/>
          </cell>
          <cell r="T360" t="str">
            <v/>
          </cell>
          <cell r="W360" t="str">
            <v/>
          </cell>
          <cell r="Z360" t="str">
            <v/>
          </cell>
        </row>
        <row r="361">
          <cell r="Q361" t="str">
            <v/>
          </cell>
          <cell r="T361" t="str">
            <v/>
          </cell>
          <cell r="W361" t="str">
            <v/>
          </cell>
          <cell r="Z361" t="str">
            <v/>
          </cell>
        </row>
        <row r="362">
          <cell r="Q362" t="str">
            <v/>
          </cell>
          <cell r="T362" t="str">
            <v/>
          </cell>
          <cell r="W362" t="str">
            <v/>
          </cell>
          <cell r="Z362" t="str">
            <v/>
          </cell>
        </row>
        <row r="363">
          <cell r="Q363" t="str">
            <v/>
          </cell>
          <cell r="T363" t="str">
            <v/>
          </cell>
          <cell r="W363" t="str">
            <v/>
          </cell>
          <cell r="Z363" t="str">
            <v/>
          </cell>
        </row>
        <row r="364">
          <cell r="Q364" t="str">
            <v/>
          </cell>
          <cell r="T364" t="str">
            <v/>
          </cell>
          <cell r="W364" t="str">
            <v/>
          </cell>
          <cell r="Z364" t="str">
            <v/>
          </cell>
        </row>
        <row r="365">
          <cell r="Q365" t="str">
            <v/>
          </cell>
          <cell r="T365" t="str">
            <v/>
          </cell>
          <cell r="W365" t="str">
            <v/>
          </cell>
          <cell r="Z365" t="str">
            <v/>
          </cell>
        </row>
        <row r="366">
          <cell r="Q366" t="str">
            <v/>
          </cell>
          <cell r="T366" t="str">
            <v/>
          </cell>
          <cell r="W366" t="str">
            <v/>
          </cell>
          <cell r="Z366" t="str">
            <v/>
          </cell>
        </row>
        <row r="367">
          <cell r="Q367" t="str">
            <v/>
          </cell>
          <cell r="T367" t="str">
            <v/>
          </cell>
          <cell r="W367" t="str">
            <v/>
          </cell>
          <cell r="Z367" t="str">
            <v/>
          </cell>
        </row>
        <row r="368">
          <cell r="Q368" t="str">
            <v/>
          </cell>
          <cell r="T368" t="str">
            <v/>
          </cell>
          <cell r="W368" t="str">
            <v/>
          </cell>
          <cell r="Z368" t="str">
            <v/>
          </cell>
        </row>
        <row r="369">
          <cell r="Q369" t="str">
            <v/>
          </cell>
          <cell r="T369" t="str">
            <v/>
          </cell>
          <cell r="W369" t="str">
            <v/>
          </cell>
          <cell r="Z369" t="str">
            <v/>
          </cell>
        </row>
        <row r="370">
          <cell r="Q370" t="str">
            <v/>
          </cell>
          <cell r="T370" t="str">
            <v/>
          </cell>
          <cell r="W370" t="str">
            <v/>
          </cell>
          <cell r="Z370" t="str">
            <v/>
          </cell>
        </row>
        <row r="371">
          <cell r="Q371" t="str">
            <v/>
          </cell>
          <cell r="T371" t="str">
            <v/>
          </cell>
          <cell r="W371" t="str">
            <v/>
          </cell>
          <cell r="Z371" t="str">
            <v/>
          </cell>
        </row>
        <row r="372">
          <cell r="Q372" t="str">
            <v/>
          </cell>
          <cell r="T372" t="str">
            <v/>
          </cell>
          <cell r="W372" t="str">
            <v/>
          </cell>
          <cell r="Z372" t="str">
            <v/>
          </cell>
        </row>
        <row r="373">
          <cell r="Q373" t="str">
            <v/>
          </cell>
          <cell r="T373" t="str">
            <v/>
          </cell>
          <cell r="W373" t="str">
            <v/>
          </cell>
          <cell r="Z373" t="str">
            <v/>
          </cell>
        </row>
        <row r="374">
          <cell r="Q374" t="str">
            <v/>
          </cell>
          <cell r="T374" t="str">
            <v/>
          </cell>
          <cell r="W374" t="str">
            <v/>
          </cell>
          <cell r="Z374" t="str">
            <v/>
          </cell>
        </row>
        <row r="375">
          <cell r="Q375" t="str">
            <v/>
          </cell>
          <cell r="T375" t="str">
            <v/>
          </cell>
          <cell r="W375" t="str">
            <v/>
          </cell>
          <cell r="Z375" t="str">
            <v/>
          </cell>
        </row>
        <row r="376">
          <cell r="Q376" t="str">
            <v/>
          </cell>
          <cell r="T376" t="str">
            <v/>
          </cell>
          <cell r="W376" t="str">
            <v/>
          </cell>
          <cell r="Z376" t="str">
            <v/>
          </cell>
        </row>
        <row r="377">
          <cell r="Q377" t="str">
            <v/>
          </cell>
          <cell r="T377" t="str">
            <v/>
          </cell>
          <cell r="W377" t="str">
            <v/>
          </cell>
          <cell r="Z377" t="str">
            <v/>
          </cell>
        </row>
        <row r="378">
          <cell r="Q378" t="str">
            <v/>
          </cell>
          <cell r="T378" t="str">
            <v/>
          </cell>
          <cell r="W378" t="str">
            <v/>
          </cell>
          <cell r="Z378" t="str">
            <v/>
          </cell>
        </row>
        <row r="379">
          <cell r="Q379" t="str">
            <v/>
          </cell>
          <cell r="T379" t="str">
            <v/>
          </cell>
          <cell r="W379" t="str">
            <v/>
          </cell>
          <cell r="Z379" t="str">
            <v/>
          </cell>
        </row>
        <row r="380">
          <cell r="Q380" t="str">
            <v/>
          </cell>
          <cell r="T380" t="str">
            <v/>
          </cell>
          <cell r="W380" t="str">
            <v/>
          </cell>
          <cell r="Z380" t="str">
            <v/>
          </cell>
        </row>
        <row r="381">
          <cell r="Q381" t="str">
            <v/>
          </cell>
          <cell r="T381" t="str">
            <v/>
          </cell>
          <cell r="W381" t="str">
            <v/>
          </cell>
          <cell r="Z381" t="str">
            <v/>
          </cell>
        </row>
        <row r="382">
          <cell r="Q382" t="str">
            <v/>
          </cell>
          <cell r="T382" t="str">
            <v/>
          </cell>
          <cell r="W382" t="str">
            <v/>
          </cell>
          <cell r="Z382" t="str">
            <v/>
          </cell>
        </row>
        <row r="383">
          <cell r="Q383" t="str">
            <v/>
          </cell>
          <cell r="T383" t="str">
            <v/>
          </cell>
          <cell r="W383" t="str">
            <v/>
          </cell>
          <cell r="Z383" t="str">
            <v/>
          </cell>
        </row>
        <row r="384">
          <cell r="Q384" t="str">
            <v/>
          </cell>
          <cell r="T384" t="str">
            <v/>
          </cell>
          <cell r="W384" t="str">
            <v/>
          </cell>
          <cell r="Z384" t="str">
            <v/>
          </cell>
        </row>
        <row r="385">
          <cell r="Q385" t="str">
            <v/>
          </cell>
          <cell r="T385" t="str">
            <v/>
          </cell>
          <cell r="W385" t="str">
            <v/>
          </cell>
          <cell r="Z385" t="str">
            <v/>
          </cell>
        </row>
        <row r="386">
          <cell r="Q386" t="str">
            <v/>
          </cell>
          <cell r="T386" t="str">
            <v/>
          </cell>
          <cell r="W386" t="str">
            <v/>
          </cell>
          <cell r="Z386" t="str">
            <v/>
          </cell>
        </row>
        <row r="387">
          <cell r="Q387" t="str">
            <v/>
          </cell>
          <cell r="T387" t="str">
            <v/>
          </cell>
          <cell r="W387" t="str">
            <v/>
          </cell>
          <cell r="Z387" t="str">
            <v/>
          </cell>
        </row>
        <row r="388">
          <cell r="Q388" t="str">
            <v/>
          </cell>
          <cell r="T388" t="str">
            <v/>
          </cell>
          <cell r="W388" t="str">
            <v/>
          </cell>
          <cell r="Z388" t="str">
            <v/>
          </cell>
        </row>
        <row r="389">
          <cell r="Q389" t="str">
            <v/>
          </cell>
          <cell r="T389" t="str">
            <v/>
          </cell>
          <cell r="W389" t="str">
            <v/>
          </cell>
          <cell r="Z389" t="str">
            <v/>
          </cell>
        </row>
        <row r="390">
          <cell r="Q390" t="str">
            <v/>
          </cell>
          <cell r="T390" t="str">
            <v/>
          </cell>
          <cell r="W390" t="str">
            <v/>
          </cell>
          <cell r="Z390" t="str">
            <v/>
          </cell>
        </row>
        <row r="391">
          <cell r="Q391" t="str">
            <v/>
          </cell>
          <cell r="T391" t="str">
            <v/>
          </cell>
          <cell r="W391" t="str">
            <v/>
          </cell>
          <cell r="Z391" t="str">
            <v/>
          </cell>
        </row>
        <row r="392">
          <cell r="Q392" t="str">
            <v/>
          </cell>
          <cell r="T392" t="str">
            <v/>
          </cell>
          <cell r="W392" t="str">
            <v/>
          </cell>
          <cell r="Z392" t="str">
            <v/>
          </cell>
        </row>
        <row r="393">
          <cell r="Q393" t="str">
            <v/>
          </cell>
          <cell r="T393" t="str">
            <v/>
          </cell>
          <cell r="W393" t="str">
            <v/>
          </cell>
          <cell r="Z393" t="str">
            <v/>
          </cell>
        </row>
        <row r="394">
          <cell r="Q394" t="str">
            <v/>
          </cell>
          <cell r="T394" t="str">
            <v/>
          </cell>
          <cell r="W394" t="str">
            <v/>
          </cell>
          <cell r="Z394" t="str">
            <v/>
          </cell>
        </row>
        <row r="395">
          <cell r="Q395" t="str">
            <v/>
          </cell>
          <cell r="T395" t="str">
            <v/>
          </cell>
          <cell r="W395" t="str">
            <v/>
          </cell>
          <cell r="Z395" t="str">
            <v/>
          </cell>
        </row>
        <row r="396">
          <cell r="Q396" t="str">
            <v/>
          </cell>
          <cell r="T396" t="str">
            <v/>
          </cell>
          <cell r="W396" t="str">
            <v/>
          </cell>
          <cell r="Z396" t="str">
            <v/>
          </cell>
        </row>
        <row r="397">
          <cell r="Q397" t="str">
            <v/>
          </cell>
          <cell r="T397" t="str">
            <v/>
          </cell>
          <cell r="W397" t="str">
            <v/>
          </cell>
          <cell r="Z397" t="str">
            <v/>
          </cell>
        </row>
        <row r="398">
          <cell r="Q398" t="str">
            <v/>
          </cell>
          <cell r="T398" t="str">
            <v/>
          </cell>
          <cell r="W398" t="str">
            <v/>
          </cell>
          <cell r="Z398" t="str">
            <v/>
          </cell>
        </row>
        <row r="399">
          <cell r="Q399" t="str">
            <v/>
          </cell>
          <cell r="T399" t="str">
            <v/>
          </cell>
          <cell r="W399" t="str">
            <v/>
          </cell>
          <cell r="Z399" t="str">
            <v/>
          </cell>
        </row>
        <row r="400">
          <cell r="Q400" t="str">
            <v/>
          </cell>
          <cell r="T400" t="str">
            <v/>
          </cell>
          <cell r="W400" t="str">
            <v/>
          </cell>
          <cell r="Z400" t="str">
            <v/>
          </cell>
        </row>
        <row r="401">
          <cell r="Q401" t="str">
            <v/>
          </cell>
          <cell r="T401" t="str">
            <v/>
          </cell>
          <cell r="W401" t="str">
            <v/>
          </cell>
          <cell r="Z401" t="str">
            <v/>
          </cell>
        </row>
        <row r="402">
          <cell r="Q402" t="str">
            <v/>
          </cell>
          <cell r="T402" t="str">
            <v/>
          </cell>
          <cell r="W402" t="str">
            <v/>
          </cell>
          <cell r="Z402" t="str">
            <v/>
          </cell>
        </row>
        <row r="403">
          <cell r="Q403" t="str">
            <v/>
          </cell>
          <cell r="T403" t="str">
            <v/>
          </cell>
          <cell r="W403" t="str">
            <v/>
          </cell>
          <cell r="Z403" t="str">
            <v/>
          </cell>
        </row>
        <row r="404">
          <cell r="Q404" t="str">
            <v/>
          </cell>
          <cell r="T404" t="str">
            <v/>
          </cell>
          <cell r="W404" t="str">
            <v/>
          </cell>
          <cell r="Z404" t="str">
            <v/>
          </cell>
        </row>
        <row r="405">
          <cell r="Q405" t="str">
            <v/>
          </cell>
          <cell r="T405" t="str">
            <v/>
          </cell>
          <cell r="W405" t="str">
            <v/>
          </cell>
          <cell r="Z405" t="str">
            <v/>
          </cell>
        </row>
        <row r="406">
          <cell r="Q406" t="str">
            <v/>
          </cell>
          <cell r="T406" t="str">
            <v/>
          </cell>
          <cell r="W406" t="str">
            <v/>
          </cell>
          <cell r="Z406" t="str">
            <v/>
          </cell>
        </row>
        <row r="407">
          <cell r="Q407" t="str">
            <v/>
          </cell>
          <cell r="T407" t="str">
            <v/>
          </cell>
          <cell r="W407" t="str">
            <v/>
          </cell>
          <cell r="Z407" t="str">
            <v/>
          </cell>
        </row>
        <row r="408">
          <cell r="Q408" t="str">
            <v/>
          </cell>
          <cell r="T408" t="str">
            <v/>
          </cell>
          <cell r="W408" t="str">
            <v/>
          </cell>
          <cell r="Z408" t="str">
            <v/>
          </cell>
        </row>
        <row r="409">
          <cell r="Q409" t="str">
            <v/>
          </cell>
          <cell r="T409" t="str">
            <v/>
          </cell>
          <cell r="W409" t="str">
            <v/>
          </cell>
          <cell r="Z409" t="str">
            <v/>
          </cell>
        </row>
        <row r="410">
          <cell r="Q410" t="str">
            <v/>
          </cell>
          <cell r="T410" t="str">
            <v/>
          </cell>
          <cell r="W410" t="str">
            <v/>
          </cell>
          <cell r="Z410" t="str">
            <v/>
          </cell>
        </row>
        <row r="411">
          <cell r="Q411" t="str">
            <v/>
          </cell>
          <cell r="T411" t="str">
            <v/>
          </cell>
          <cell r="W411" t="str">
            <v/>
          </cell>
          <cell r="Z411" t="str">
            <v/>
          </cell>
        </row>
        <row r="412">
          <cell r="Q412" t="str">
            <v/>
          </cell>
          <cell r="T412" t="str">
            <v/>
          </cell>
          <cell r="W412" t="str">
            <v/>
          </cell>
          <cell r="Z412" t="str">
            <v/>
          </cell>
        </row>
        <row r="413">
          <cell r="Q413" t="str">
            <v/>
          </cell>
          <cell r="T413" t="str">
            <v/>
          </cell>
          <cell r="W413" t="str">
            <v/>
          </cell>
          <cell r="Z413" t="str">
            <v/>
          </cell>
        </row>
        <row r="414">
          <cell r="Q414" t="str">
            <v/>
          </cell>
          <cell r="T414" t="str">
            <v/>
          </cell>
          <cell r="W414" t="str">
            <v/>
          </cell>
          <cell r="Z414" t="str">
            <v/>
          </cell>
        </row>
        <row r="415">
          <cell r="Q415" t="str">
            <v/>
          </cell>
          <cell r="T415" t="str">
            <v/>
          </cell>
          <cell r="W415" t="str">
            <v/>
          </cell>
          <cell r="Z415" t="str">
            <v/>
          </cell>
        </row>
        <row r="416">
          <cell r="Q416" t="str">
            <v/>
          </cell>
          <cell r="T416" t="str">
            <v/>
          </cell>
          <cell r="W416" t="str">
            <v/>
          </cell>
          <cell r="Z416" t="str">
            <v/>
          </cell>
        </row>
        <row r="417">
          <cell r="Q417" t="str">
            <v/>
          </cell>
          <cell r="T417" t="str">
            <v/>
          </cell>
          <cell r="W417" t="str">
            <v/>
          </cell>
          <cell r="Z417" t="str">
            <v/>
          </cell>
        </row>
        <row r="418">
          <cell r="Q418" t="str">
            <v/>
          </cell>
          <cell r="T418" t="str">
            <v/>
          </cell>
          <cell r="W418" t="str">
            <v/>
          </cell>
          <cell r="Z418" t="str">
            <v/>
          </cell>
        </row>
        <row r="419">
          <cell r="Q419" t="str">
            <v/>
          </cell>
          <cell r="T419" t="str">
            <v/>
          </cell>
          <cell r="W419" t="str">
            <v/>
          </cell>
          <cell r="Z419" t="str">
            <v/>
          </cell>
        </row>
        <row r="420">
          <cell r="Q420" t="str">
            <v/>
          </cell>
          <cell r="T420" t="str">
            <v/>
          </cell>
          <cell r="W420" t="str">
            <v/>
          </cell>
          <cell r="Z420" t="str">
            <v/>
          </cell>
        </row>
        <row r="421">
          <cell r="Q421" t="str">
            <v/>
          </cell>
          <cell r="T421" t="str">
            <v/>
          </cell>
          <cell r="W421" t="str">
            <v/>
          </cell>
          <cell r="Z421" t="str">
            <v/>
          </cell>
        </row>
        <row r="422">
          <cell r="Q422" t="str">
            <v/>
          </cell>
          <cell r="T422" t="str">
            <v/>
          </cell>
          <cell r="W422" t="str">
            <v/>
          </cell>
          <cell r="Z422" t="str">
            <v/>
          </cell>
        </row>
        <row r="423">
          <cell r="Q423" t="str">
            <v/>
          </cell>
          <cell r="T423" t="str">
            <v/>
          </cell>
          <cell r="W423" t="str">
            <v/>
          </cell>
          <cell r="Z423" t="str">
            <v/>
          </cell>
        </row>
        <row r="424">
          <cell r="Q424" t="str">
            <v/>
          </cell>
          <cell r="T424" t="str">
            <v/>
          </cell>
          <cell r="W424" t="str">
            <v/>
          </cell>
          <cell r="Z424" t="str">
            <v/>
          </cell>
        </row>
        <row r="425">
          <cell r="Q425" t="str">
            <v/>
          </cell>
          <cell r="T425" t="str">
            <v/>
          </cell>
          <cell r="W425" t="str">
            <v/>
          </cell>
          <cell r="Z425" t="str">
            <v/>
          </cell>
        </row>
        <row r="426">
          <cell r="Q426" t="str">
            <v/>
          </cell>
          <cell r="T426" t="str">
            <v/>
          </cell>
          <cell r="W426" t="str">
            <v/>
          </cell>
          <cell r="Z426" t="str">
            <v/>
          </cell>
        </row>
        <row r="427">
          <cell r="Q427" t="str">
            <v/>
          </cell>
          <cell r="T427" t="str">
            <v/>
          </cell>
          <cell r="W427" t="str">
            <v/>
          </cell>
          <cell r="Z427" t="str">
            <v/>
          </cell>
        </row>
        <row r="428">
          <cell r="Q428" t="str">
            <v/>
          </cell>
          <cell r="T428" t="str">
            <v/>
          </cell>
          <cell r="W428" t="str">
            <v/>
          </cell>
          <cell r="Z428" t="str">
            <v/>
          </cell>
        </row>
        <row r="429">
          <cell r="Q429" t="str">
            <v/>
          </cell>
          <cell r="T429" t="str">
            <v/>
          </cell>
          <cell r="W429" t="str">
            <v/>
          </cell>
          <cell r="Z429" t="str">
            <v/>
          </cell>
        </row>
        <row r="430">
          <cell r="Q430" t="str">
            <v/>
          </cell>
          <cell r="T430" t="str">
            <v/>
          </cell>
          <cell r="W430" t="str">
            <v/>
          </cell>
          <cell r="Z430" t="str">
            <v/>
          </cell>
        </row>
        <row r="431">
          <cell r="Q431" t="str">
            <v/>
          </cell>
          <cell r="T431" t="str">
            <v/>
          </cell>
          <cell r="W431" t="str">
            <v/>
          </cell>
          <cell r="Z431" t="str">
            <v/>
          </cell>
        </row>
        <row r="432">
          <cell r="Q432" t="str">
            <v/>
          </cell>
          <cell r="T432" t="str">
            <v/>
          </cell>
          <cell r="W432" t="str">
            <v/>
          </cell>
          <cell r="Z432" t="str">
            <v/>
          </cell>
        </row>
        <row r="433">
          <cell r="Q433" t="str">
            <v/>
          </cell>
          <cell r="T433" t="str">
            <v/>
          </cell>
          <cell r="W433" t="str">
            <v/>
          </cell>
          <cell r="Z433" t="str">
            <v/>
          </cell>
        </row>
        <row r="434">
          <cell r="Q434" t="str">
            <v/>
          </cell>
          <cell r="T434" t="str">
            <v/>
          </cell>
          <cell r="W434" t="str">
            <v/>
          </cell>
          <cell r="Z434" t="str">
            <v/>
          </cell>
        </row>
        <row r="435">
          <cell r="Q435" t="str">
            <v/>
          </cell>
          <cell r="T435" t="str">
            <v/>
          </cell>
          <cell r="W435" t="str">
            <v/>
          </cell>
          <cell r="Z435" t="str">
            <v/>
          </cell>
        </row>
        <row r="436">
          <cell r="Q436" t="str">
            <v/>
          </cell>
          <cell r="T436" t="str">
            <v/>
          </cell>
          <cell r="W436" t="str">
            <v/>
          </cell>
          <cell r="Z436" t="str">
            <v/>
          </cell>
        </row>
        <row r="437">
          <cell r="Q437" t="str">
            <v/>
          </cell>
          <cell r="T437" t="str">
            <v/>
          </cell>
          <cell r="W437" t="str">
            <v/>
          </cell>
          <cell r="Z437" t="str">
            <v/>
          </cell>
        </row>
        <row r="438">
          <cell r="Q438" t="str">
            <v/>
          </cell>
          <cell r="T438" t="str">
            <v/>
          </cell>
          <cell r="W438" t="str">
            <v/>
          </cell>
          <cell r="Z438" t="str">
            <v/>
          </cell>
        </row>
        <row r="439">
          <cell r="Q439" t="str">
            <v/>
          </cell>
          <cell r="T439" t="str">
            <v/>
          </cell>
          <cell r="W439" t="str">
            <v/>
          </cell>
          <cell r="Z439" t="str">
            <v/>
          </cell>
        </row>
        <row r="440">
          <cell r="Q440" t="str">
            <v/>
          </cell>
          <cell r="T440" t="str">
            <v/>
          </cell>
          <cell r="W440" t="str">
            <v/>
          </cell>
          <cell r="Z440" t="str">
            <v/>
          </cell>
        </row>
        <row r="441">
          <cell r="Q441" t="str">
            <v/>
          </cell>
          <cell r="T441" t="str">
            <v/>
          </cell>
          <cell r="W441" t="str">
            <v/>
          </cell>
          <cell r="Z441" t="str">
            <v/>
          </cell>
        </row>
        <row r="442">
          <cell r="Q442" t="str">
            <v/>
          </cell>
          <cell r="T442" t="str">
            <v/>
          </cell>
          <cell r="W442" t="str">
            <v/>
          </cell>
          <cell r="Z442" t="str">
            <v/>
          </cell>
        </row>
        <row r="443">
          <cell r="Q443" t="str">
            <v/>
          </cell>
          <cell r="T443" t="str">
            <v/>
          </cell>
          <cell r="W443" t="str">
            <v/>
          </cell>
          <cell r="Z443" t="str">
            <v/>
          </cell>
        </row>
        <row r="444">
          <cell r="Q444" t="str">
            <v/>
          </cell>
          <cell r="T444" t="str">
            <v/>
          </cell>
          <cell r="W444" t="str">
            <v/>
          </cell>
          <cell r="Z444" t="str">
            <v/>
          </cell>
        </row>
        <row r="445">
          <cell r="Q445" t="str">
            <v/>
          </cell>
          <cell r="T445" t="str">
            <v/>
          </cell>
          <cell r="W445" t="str">
            <v/>
          </cell>
          <cell r="Z445" t="str">
            <v/>
          </cell>
        </row>
        <row r="446">
          <cell r="Q446" t="str">
            <v/>
          </cell>
          <cell r="T446" t="str">
            <v/>
          </cell>
          <cell r="W446" t="str">
            <v/>
          </cell>
          <cell r="Z446" t="str">
            <v/>
          </cell>
        </row>
        <row r="447">
          <cell r="Q447" t="str">
            <v/>
          </cell>
          <cell r="T447" t="str">
            <v/>
          </cell>
          <cell r="W447" t="str">
            <v/>
          </cell>
          <cell r="Z447" t="str">
            <v/>
          </cell>
        </row>
        <row r="448">
          <cell r="Q448" t="str">
            <v/>
          </cell>
          <cell r="T448" t="str">
            <v/>
          </cell>
          <cell r="W448" t="str">
            <v/>
          </cell>
          <cell r="Z448" t="str">
            <v/>
          </cell>
        </row>
        <row r="449">
          <cell r="Q449" t="str">
            <v/>
          </cell>
          <cell r="T449" t="str">
            <v/>
          </cell>
          <cell r="W449" t="str">
            <v/>
          </cell>
          <cell r="Z449" t="str">
            <v/>
          </cell>
        </row>
        <row r="450">
          <cell r="Q450" t="str">
            <v/>
          </cell>
          <cell r="T450" t="str">
            <v/>
          </cell>
          <cell r="W450" t="str">
            <v/>
          </cell>
          <cell r="Z450" t="str">
            <v/>
          </cell>
        </row>
        <row r="451">
          <cell r="Q451" t="str">
            <v/>
          </cell>
          <cell r="T451" t="str">
            <v/>
          </cell>
          <cell r="W451" t="str">
            <v/>
          </cell>
          <cell r="Z451" t="str">
            <v/>
          </cell>
        </row>
        <row r="452">
          <cell r="Q452" t="str">
            <v/>
          </cell>
          <cell r="T452" t="str">
            <v/>
          </cell>
          <cell r="W452" t="str">
            <v/>
          </cell>
          <cell r="Z452" t="str">
            <v/>
          </cell>
        </row>
        <row r="453">
          <cell r="Q453" t="str">
            <v/>
          </cell>
          <cell r="T453" t="str">
            <v/>
          </cell>
          <cell r="W453" t="str">
            <v/>
          </cell>
          <cell r="Z453" t="str">
            <v/>
          </cell>
        </row>
        <row r="454">
          <cell r="Q454" t="str">
            <v/>
          </cell>
          <cell r="T454" t="str">
            <v/>
          </cell>
          <cell r="W454" t="str">
            <v/>
          </cell>
          <cell r="Z454" t="str">
            <v/>
          </cell>
        </row>
        <row r="455">
          <cell r="Q455" t="str">
            <v/>
          </cell>
          <cell r="T455" t="str">
            <v/>
          </cell>
          <cell r="W455" t="str">
            <v/>
          </cell>
          <cell r="Z455" t="str">
            <v/>
          </cell>
        </row>
        <row r="456">
          <cell r="Q456" t="str">
            <v/>
          </cell>
          <cell r="T456" t="str">
            <v/>
          </cell>
          <cell r="W456" t="str">
            <v/>
          </cell>
          <cell r="Z456" t="str">
            <v/>
          </cell>
        </row>
        <row r="457">
          <cell r="Q457" t="str">
            <v/>
          </cell>
          <cell r="T457" t="str">
            <v/>
          </cell>
          <cell r="W457" t="str">
            <v/>
          </cell>
          <cell r="Z457" t="str">
            <v/>
          </cell>
        </row>
        <row r="458">
          <cell r="Q458" t="str">
            <v/>
          </cell>
          <cell r="T458" t="str">
            <v/>
          </cell>
          <cell r="W458" t="str">
            <v/>
          </cell>
          <cell r="Z458" t="str">
            <v/>
          </cell>
        </row>
        <row r="459">
          <cell r="Q459" t="str">
            <v/>
          </cell>
          <cell r="T459" t="str">
            <v/>
          </cell>
          <cell r="W459" t="str">
            <v/>
          </cell>
          <cell r="Z459" t="str">
            <v/>
          </cell>
        </row>
        <row r="460">
          <cell r="Q460" t="str">
            <v/>
          </cell>
          <cell r="T460" t="str">
            <v/>
          </cell>
          <cell r="W460" t="str">
            <v/>
          </cell>
          <cell r="Z460" t="str">
            <v/>
          </cell>
        </row>
        <row r="461">
          <cell r="Q461" t="str">
            <v/>
          </cell>
          <cell r="T461" t="str">
            <v/>
          </cell>
          <cell r="W461" t="str">
            <v/>
          </cell>
          <cell r="Z461" t="str">
            <v/>
          </cell>
        </row>
        <row r="462">
          <cell r="Q462" t="str">
            <v/>
          </cell>
          <cell r="T462" t="str">
            <v/>
          </cell>
          <cell r="W462" t="str">
            <v/>
          </cell>
          <cell r="Z462" t="str">
            <v/>
          </cell>
        </row>
        <row r="463">
          <cell r="Q463" t="str">
            <v/>
          </cell>
          <cell r="T463" t="str">
            <v/>
          </cell>
          <cell r="W463" t="str">
            <v/>
          </cell>
          <cell r="Z463" t="str">
            <v/>
          </cell>
        </row>
        <row r="464">
          <cell r="Q464" t="str">
            <v/>
          </cell>
          <cell r="T464" t="str">
            <v/>
          </cell>
          <cell r="W464" t="str">
            <v/>
          </cell>
          <cell r="Z464" t="str">
            <v/>
          </cell>
        </row>
        <row r="465">
          <cell r="Q465" t="str">
            <v/>
          </cell>
          <cell r="T465" t="str">
            <v/>
          </cell>
          <cell r="W465" t="str">
            <v/>
          </cell>
          <cell r="Z465" t="str">
            <v/>
          </cell>
        </row>
        <row r="466">
          <cell r="Q466" t="str">
            <v/>
          </cell>
          <cell r="T466" t="str">
            <v/>
          </cell>
          <cell r="W466" t="str">
            <v/>
          </cell>
          <cell r="Z466" t="str">
            <v/>
          </cell>
        </row>
        <row r="467">
          <cell r="Q467" t="str">
            <v/>
          </cell>
          <cell r="T467" t="str">
            <v/>
          </cell>
          <cell r="W467" t="str">
            <v/>
          </cell>
          <cell r="Z467" t="str">
            <v/>
          </cell>
        </row>
        <row r="468">
          <cell r="Q468" t="str">
            <v/>
          </cell>
          <cell r="T468" t="str">
            <v/>
          </cell>
          <cell r="W468" t="str">
            <v/>
          </cell>
          <cell r="Z468" t="str">
            <v/>
          </cell>
        </row>
        <row r="469">
          <cell r="Q469" t="str">
            <v/>
          </cell>
          <cell r="T469" t="str">
            <v/>
          </cell>
          <cell r="W469" t="str">
            <v/>
          </cell>
          <cell r="Z469" t="str">
            <v/>
          </cell>
        </row>
        <row r="470">
          <cell r="Q470" t="str">
            <v/>
          </cell>
          <cell r="T470" t="str">
            <v/>
          </cell>
          <cell r="W470" t="str">
            <v/>
          </cell>
          <cell r="Z470" t="str">
            <v/>
          </cell>
        </row>
        <row r="471">
          <cell r="Q471" t="str">
            <v/>
          </cell>
          <cell r="T471" t="str">
            <v/>
          </cell>
          <cell r="W471" t="str">
            <v/>
          </cell>
          <cell r="Z471" t="str">
            <v/>
          </cell>
        </row>
        <row r="472">
          <cell r="Q472" t="str">
            <v/>
          </cell>
          <cell r="T472" t="str">
            <v/>
          </cell>
          <cell r="W472" t="str">
            <v/>
          </cell>
          <cell r="Z472" t="str">
            <v/>
          </cell>
        </row>
        <row r="473">
          <cell r="Q473" t="str">
            <v/>
          </cell>
          <cell r="T473" t="str">
            <v/>
          </cell>
          <cell r="W473" t="str">
            <v/>
          </cell>
          <cell r="Z473" t="str">
            <v/>
          </cell>
        </row>
        <row r="474">
          <cell r="Q474" t="str">
            <v/>
          </cell>
          <cell r="T474" t="str">
            <v/>
          </cell>
          <cell r="W474" t="str">
            <v/>
          </cell>
          <cell r="Z474" t="str">
            <v/>
          </cell>
        </row>
        <row r="475">
          <cell r="Q475" t="str">
            <v/>
          </cell>
          <cell r="T475" t="str">
            <v/>
          </cell>
          <cell r="W475" t="str">
            <v/>
          </cell>
          <cell r="Z475" t="str">
            <v/>
          </cell>
        </row>
        <row r="476">
          <cell r="Q476" t="str">
            <v/>
          </cell>
          <cell r="T476" t="str">
            <v/>
          </cell>
          <cell r="W476" t="str">
            <v/>
          </cell>
          <cell r="Z476" t="str">
            <v/>
          </cell>
        </row>
        <row r="477">
          <cell r="Q477" t="str">
            <v/>
          </cell>
          <cell r="T477" t="str">
            <v/>
          </cell>
          <cell r="W477" t="str">
            <v/>
          </cell>
          <cell r="Z477" t="str">
            <v/>
          </cell>
        </row>
        <row r="478">
          <cell r="Q478" t="str">
            <v/>
          </cell>
          <cell r="T478" t="str">
            <v/>
          </cell>
          <cell r="W478" t="str">
            <v/>
          </cell>
          <cell r="Z478" t="str">
            <v/>
          </cell>
        </row>
        <row r="479">
          <cell r="Q479" t="str">
            <v/>
          </cell>
          <cell r="T479" t="str">
            <v/>
          </cell>
          <cell r="W479" t="str">
            <v/>
          </cell>
          <cell r="Z479" t="str">
            <v/>
          </cell>
        </row>
        <row r="480">
          <cell r="Q480" t="str">
            <v/>
          </cell>
          <cell r="T480" t="str">
            <v/>
          </cell>
          <cell r="W480" t="str">
            <v/>
          </cell>
          <cell r="Z480" t="str">
            <v/>
          </cell>
        </row>
        <row r="481">
          <cell r="Q481" t="str">
            <v/>
          </cell>
          <cell r="T481" t="str">
            <v/>
          </cell>
          <cell r="W481" t="str">
            <v/>
          </cell>
          <cell r="Z481" t="str">
            <v/>
          </cell>
        </row>
        <row r="482">
          <cell r="Q482" t="str">
            <v/>
          </cell>
          <cell r="T482" t="str">
            <v/>
          </cell>
          <cell r="W482" t="str">
            <v/>
          </cell>
          <cell r="Z482" t="str">
            <v/>
          </cell>
        </row>
        <row r="483">
          <cell r="Q483" t="str">
            <v/>
          </cell>
          <cell r="T483" t="str">
            <v/>
          </cell>
          <cell r="W483" t="str">
            <v/>
          </cell>
          <cell r="Z483" t="str">
            <v/>
          </cell>
        </row>
        <row r="484">
          <cell r="Q484" t="str">
            <v/>
          </cell>
          <cell r="T484" t="str">
            <v/>
          </cell>
          <cell r="W484" t="str">
            <v/>
          </cell>
          <cell r="Z484" t="str">
            <v/>
          </cell>
        </row>
        <row r="485">
          <cell r="Q485" t="str">
            <v/>
          </cell>
          <cell r="T485" t="str">
            <v/>
          </cell>
          <cell r="W485" t="str">
            <v/>
          </cell>
          <cell r="Z485" t="str">
            <v/>
          </cell>
        </row>
        <row r="486">
          <cell r="Q486" t="str">
            <v/>
          </cell>
          <cell r="T486" t="str">
            <v/>
          </cell>
          <cell r="W486" t="str">
            <v/>
          </cell>
          <cell r="Z486" t="str">
            <v/>
          </cell>
        </row>
        <row r="487">
          <cell r="Q487" t="str">
            <v/>
          </cell>
          <cell r="T487" t="str">
            <v/>
          </cell>
          <cell r="W487" t="str">
            <v/>
          </cell>
          <cell r="Z487" t="str">
            <v/>
          </cell>
        </row>
        <row r="488">
          <cell r="Q488" t="str">
            <v/>
          </cell>
          <cell r="T488" t="str">
            <v/>
          </cell>
          <cell r="W488" t="str">
            <v/>
          </cell>
          <cell r="Z488" t="str">
            <v/>
          </cell>
        </row>
        <row r="489">
          <cell r="Q489" t="str">
            <v/>
          </cell>
          <cell r="T489" t="str">
            <v/>
          </cell>
          <cell r="W489" t="str">
            <v/>
          </cell>
          <cell r="Z489" t="str">
            <v/>
          </cell>
        </row>
        <row r="490">
          <cell r="Q490" t="str">
            <v/>
          </cell>
          <cell r="T490" t="str">
            <v/>
          </cell>
          <cell r="W490" t="str">
            <v/>
          </cell>
          <cell r="Z490" t="str">
            <v/>
          </cell>
        </row>
        <row r="491">
          <cell r="Q491" t="str">
            <v/>
          </cell>
          <cell r="T491" t="str">
            <v/>
          </cell>
          <cell r="W491" t="str">
            <v/>
          </cell>
          <cell r="Z491" t="str">
            <v/>
          </cell>
        </row>
        <row r="492">
          <cell r="Q492" t="str">
            <v/>
          </cell>
          <cell r="T492" t="str">
            <v/>
          </cell>
          <cell r="W492" t="str">
            <v/>
          </cell>
          <cell r="Z492" t="str">
            <v/>
          </cell>
        </row>
        <row r="493">
          <cell r="Q493" t="str">
            <v/>
          </cell>
          <cell r="T493" t="str">
            <v/>
          </cell>
          <cell r="W493" t="str">
            <v/>
          </cell>
          <cell r="Z493" t="str">
            <v/>
          </cell>
        </row>
        <row r="494">
          <cell r="Q494" t="str">
            <v/>
          </cell>
          <cell r="T494" t="str">
            <v/>
          </cell>
          <cell r="W494" t="str">
            <v/>
          </cell>
          <cell r="Z494" t="str">
            <v/>
          </cell>
        </row>
        <row r="495">
          <cell r="Q495" t="str">
            <v/>
          </cell>
          <cell r="T495" t="str">
            <v/>
          </cell>
          <cell r="W495" t="str">
            <v/>
          </cell>
          <cell r="Z495" t="str">
            <v/>
          </cell>
        </row>
        <row r="496">
          <cell r="Q496" t="str">
            <v/>
          </cell>
          <cell r="T496" t="str">
            <v/>
          </cell>
          <cell r="W496" t="str">
            <v/>
          </cell>
          <cell r="Z496" t="str">
            <v/>
          </cell>
        </row>
        <row r="497">
          <cell r="Q497" t="str">
            <v/>
          </cell>
          <cell r="T497" t="str">
            <v/>
          </cell>
          <cell r="W497" t="str">
            <v/>
          </cell>
          <cell r="Z497" t="str">
            <v/>
          </cell>
        </row>
        <row r="498">
          <cell r="Q498" t="str">
            <v/>
          </cell>
          <cell r="T498" t="str">
            <v/>
          </cell>
          <cell r="W498" t="str">
            <v/>
          </cell>
          <cell r="Z498" t="str">
            <v/>
          </cell>
        </row>
        <row r="499">
          <cell r="Q499" t="str">
            <v/>
          </cell>
          <cell r="T499" t="str">
            <v/>
          </cell>
          <cell r="W499" t="str">
            <v/>
          </cell>
          <cell r="Z499" t="str">
            <v/>
          </cell>
        </row>
        <row r="500">
          <cell r="Q500" t="str">
            <v/>
          </cell>
          <cell r="T500" t="str">
            <v/>
          </cell>
          <cell r="W500" t="str">
            <v/>
          </cell>
          <cell r="Z500" t="str">
            <v/>
          </cell>
        </row>
        <row r="501">
          <cell r="Q501" t="str">
            <v/>
          </cell>
          <cell r="T501" t="str">
            <v/>
          </cell>
          <cell r="W501" t="str">
            <v/>
          </cell>
          <cell r="Z501" t="str">
            <v/>
          </cell>
        </row>
        <row r="502">
          <cell r="Q502" t="str">
            <v/>
          </cell>
          <cell r="T502" t="str">
            <v/>
          </cell>
          <cell r="W502" t="str">
            <v/>
          </cell>
          <cell r="Z502" t="str">
            <v/>
          </cell>
        </row>
        <row r="503">
          <cell r="Q503" t="str">
            <v/>
          </cell>
          <cell r="T503" t="str">
            <v/>
          </cell>
          <cell r="W503" t="str">
            <v/>
          </cell>
          <cell r="Z503" t="str">
            <v/>
          </cell>
        </row>
        <row r="504">
          <cell r="Q504" t="str">
            <v/>
          </cell>
          <cell r="T504" t="str">
            <v/>
          </cell>
          <cell r="W504" t="str">
            <v/>
          </cell>
          <cell r="Z504" t="str">
            <v/>
          </cell>
        </row>
        <row r="505">
          <cell r="Q505" t="str">
            <v/>
          </cell>
          <cell r="T505" t="str">
            <v/>
          </cell>
          <cell r="W505" t="str">
            <v/>
          </cell>
          <cell r="Z505" t="str">
            <v/>
          </cell>
        </row>
        <row r="506">
          <cell r="Q506" t="str">
            <v/>
          </cell>
          <cell r="T506" t="str">
            <v/>
          </cell>
          <cell r="W506" t="str">
            <v/>
          </cell>
          <cell r="Z506" t="str">
            <v/>
          </cell>
        </row>
        <row r="507">
          <cell r="Q507" t="str">
            <v/>
          </cell>
          <cell r="T507" t="str">
            <v/>
          </cell>
          <cell r="W507" t="str">
            <v/>
          </cell>
          <cell r="Z507" t="str">
            <v/>
          </cell>
        </row>
        <row r="508">
          <cell r="Q508" t="str">
            <v/>
          </cell>
          <cell r="T508" t="str">
            <v/>
          </cell>
          <cell r="W508" t="str">
            <v/>
          </cell>
          <cell r="Z508" t="str">
            <v/>
          </cell>
        </row>
        <row r="509">
          <cell r="Q509" t="str">
            <v/>
          </cell>
          <cell r="T509" t="str">
            <v/>
          </cell>
          <cell r="W509" t="str">
            <v/>
          </cell>
          <cell r="Z509" t="str">
            <v/>
          </cell>
        </row>
        <row r="510">
          <cell r="Q510" t="str">
            <v/>
          </cell>
          <cell r="T510" t="str">
            <v/>
          </cell>
          <cell r="W510" t="str">
            <v/>
          </cell>
          <cell r="Z510" t="str">
            <v/>
          </cell>
        </row>
        <row r="511">
          <cell r="Q511" t="str">
            <v/>
          </cell>
          <cell r="T511" t="str">
            <v/>
          </cell>
          <cell r="W511" t="str">
            <v/>
          </cell>
          <cell r="Z511" t="str">
            <v/>
          </cell>
        </row>
        <row r="512">
          <cell r="Q512" t="str">
            <v/>
          </cell>
          <cell r="T512" t="str">
            <v/>
          </cell>
          <cell r="W512" t="str">
            <v/>
          </cell>
          <cell r="Z512" t="str">
            <v/>
          </cell>
        </row>
        <row r="513">
          <cell r="Q513" t="str">
            <v/>
          </cell>
          <cell r="T513" t="str">
            <v/>
          </cell>
          <cell r="W513" t="str">
            <v/>
          </cell>
          <cell r="Z513" t="str">
            <v/>
          </cell>
        </row>
        <row r="514">
          <cell r="Q514" t="str">
            <v/>
          </cell>
          <cell r="T514" t="str">
            <v/>
          </cell>
          <cell r="W514" t="str">
            <v/>
          </cell>
          <cell r="Z514" t="str">
            <v/>
          </cell>
        </row>
        <row r="515">
          <cell r="Q515" t="str">
            <v/>
          </cell>
          <cell r="T515" t="str">
            <v/>
          </cell>
          <cell r="W515" t="str">
            <v/>
          </cell>
          <cell r="Z515" t="str">
            <v/>
          </cell>
        </row>
        <row r="516">
          <cell r="Q516" t="str">
            <v/>
          </cell>
          <cell r="T516" t="str">
            <v/>
          </cell>
          <cell r="W516" t="str">
            <v/>
          </cell>
          <cell r="Z516" t="str">
            <v/>
          </cell>
        </row>
        <row r="517">
          <cell r="Q517" t="str">
            <v/>
          </cell>
          <cell r="T517" t="str">
            <v/>
          </cell>
          <cell r="W517" t="str">
            <v/>
          </cell>
          <cell r="Z517" t="str">
            <v/>
          </cell>
        </row>
        <row r="518">
          <cell r="Q518" t="str">
            <v/>
          </cell>
          <cell r="T518" t="str">
            <v/>
          </cell>
          <cell r="W518" t="str">
            <v/>
          </cell>
          <cell r="Z518" t="str">
            <v/>
          </cell>
        </row>
        <row r="519">
          <cell r="Q519" t="str">
            <v/>
          </cell>
          <cell r="T519" t="str">
            <v/>
          </cell>
          <cell r="W519" t="str">
            <v/>
          </cell>
          <cell r="Z519" t="str">
            <v/>
          </cell>
        </row>
        <row r="520">
          <cell r="Q520" t="str">
            <v/>
          </cell>
          <cell r="T520" t="str">
            <v/>
          </cell>
          <cell r="W520" t="str">
            <v/>
          </cell>
          <cell r="Z520" t="str">
            <v/>
          </cell>
        </row>
        <row r="521">
          <cell r="Q521" t="str">
            <v/>
          </cell>
          <cell r="T521" t="str">
            <v/>
          </cell>
          <cell r="W521" t="str">
            <v/>
          </cell>
          <cell r="Z521" t="str">
            <v/>
          </cell>
        </row>
        <row r="522">
          <cell r="Q522" t="str">
            <v/>
          </cell>
          <cell r="T522" t="str">
            <v/>
          </cell>
          <cell r="W522" t="str">
            <v/>
          </cell>
          <cell r="Z522" t="str">
            <v/>
          </cell>
        </row>
        <row r="523">
          <cell r="Q523" t="str">
            <v/>
          </cell>
          <cell r="T523" t="str">
            <v/>
          </cell>
          <cell r="W523" t="str">
            <v/>
          </cell>
          <cell r="Z523" t="str">
            <v/>
          </cell>
        </row>
        <row r="524">
          <cell r="Q524" t="str">
            <v/>
          </cell>
          <cell r="T524" t="str">
            <v/>
          </cell>
          <cell r="W524" t="str">
            <v/>
          </cell>
          <cell r="Z524" t="str">
            <v/>
          </cell>
        </row>
        <row r="525">
          <cell r="Q525" t="str">
            <v/>
          </cell>
          <cell r="T525" t="str">
            <v/>
          </cell>
          <cell r="W525" t="str">
            <v/>
          </cell>
          <cell r="Z525" t="str">
            <v/>
          </cell>
        </row>
        <row r="526">
          <cell r="Q526" t="str">
            <v/>
          </cell>
          <cell r="T526" t="str">
            <v/>
          </cell>
          <cell r="W526" t="str">
            <v/>
          </cell>
          <cell r="Z526" t="str">
            <v/>
          </cell>
        </row>
        <row r="527">
          <cell r="Q527" t="str">
            <v/>
          </cell>
          <cell r="T527" t="str">
            <v/>
          </cell>
          <cell r="W527" t="str">
            <v/>
          </cell>
          <cell r="Z527" t="str">
            <v/>
          </cell>
        </row>
        <row r="528">
          <cell r="Q528" t="str">
            <v/>
          </cell>
          <cell r="T528" t="str">
            <v/>
          </cell>
          <cell r="W528" t="str">
            <v/>
          </cell>
          <cell r="Z528" t="str">
            <v/>
          </cell>
        </row>
        <row r="529">
          <cell r="Q529" t="str">
            <v/>
          </cell>
          <cell r="T529" t="str">
            <v/>
          </cell>
          <cell r="W529" t="str">
            <v/>
          </cell>
          <cell r="Z529" t="str">
            <v/>
          </cell>
        </row>
        <row r="530">
          <cell r="Q530" t="str">
            <v/>
          </cell>
          <cell r="T530" t="str">
            <v/>
          </cell>
          <cell r="W530" t="str">
            <v/>
          </cell>
          <cell r="Z530" t="str">
            <v/>
          </cell>
        </row>
        <row r="531">
          <cell r="Q531" t="str">
            <v/>
          </cell>
          <cell r="T531" t="str">
            <v/>
          </cell>
          <cell r="W531" t="str">
            <v/>
          </cell>
          <cell r="Z531" t="str">
            <v/>
          </cell>
        </row>
        <row r="532">
          <cell r="Q532" t="str">
            <v/>
          </cell>
          <cell r="T532" t="str">
            <v/>
          </cell>
          <cell r="W532" t="str">
            <v/>
          </cell>
          <cell r="Z532" t="str">
            <v/>
          </cell>
        </row>
        <row r="533">
          <cell r="Q533" t="str">
            <v/>
          </cell>
          <cell r="T533" t="str">
            <v/>
          </cell>
          <cell r="W533" t="str">
            <v/>
          </cell>
          <cell r="Z533" t="str">
            <v/>
          </cell>
        </row>
        <row r="534">
          <cell r="Q534" t="str">
            <v/>
          </cell>
          <cell r="T534" t="str">
            <v/>
          </cell>
          <cell r="W534" t="str">
            <v/>
          </cell>
          <cell r="Z534" t="str">
            <v/>
          </cell>
        </row>
        <row r="535">
          <cell r="Q535" t="str">
            <v/>
          </cell>
          <cell r="T535" t="str">
            <v/>
          </cell>
          <cell r="W535" t="str">
            <v/>
          </cell>
          <cell r="Z535" t="str">
            <v/>
          </cell>
        </row>
        <row r="536">
          <cell r="Q536" t="str">
            <v/>
          </cell>
          <cell r="T536" t="str">
            <v/>
          </cell>
          <cell r="W536" t="str">
            <v/>
          </cell>
          <cell r="Z536" t="str">
            <v/>
          </cell>
        </row>
        <row r="537">
          <cell r="Q537" t="str">
            <v/>
          </cell>
          <cell r="T537" t="str">
            <v/>
          </cell>
          <cell r="W537" t="str">
            <v/>
          </cell>
          <cell r="Z537" t="str">
            <v/>
          </cell>
        </row>
        <row r="538">
          <cell r="Q538" t="str">
            <v/>
          </cell>
          <cell r="T538" t="str">
            <v/>
          </cell>
          <cell r="W538" t="str">
            <v/>
          </cell>
          <cell r="Z538" t="str">
            <v/>
          </cell>
        </row>
        <row r="539">
          <cell r="Q539" t="str">
            <v/>
          </cell>
          <cell r="T539" t="str">
            <v/>
          </cell>
          <cell r="W539" t="str">
            <v/>
          </cell>
          <cell r="Z539" t="str">
            <v/>
          </cell>
        </row>
        <row r="540">
          <cell r="Q540" t="str">
            <v/>
          </cell>
          <cell r="T540" t="str">
            <v/>
          </cell>
          <cell r="W540" t="str">
            <v/>
          </cell>
          <cell r="Z540" t="str">
            <v/>
          </cell>
        </row>
        <row r="541">
          <cell r="Q541" t="str">
            <v/>
          </cell>
          <cell r="T541" t="str">
            <v/>
          </cell>
          <cell r="W541" t="str">
            <v/>
          </cell>
          <cell r="Z541" t="str">
            <v/>
          </cell>
        </row>
        <row r="542">
          <cell r="Q542" t="str">
            <v/>
          </cell>
          <cell r="T542" t="str">
            <v/>
          </cell>
          <cell r="W542" t="str">
            <v/>
          </cell>
          <cell r="Z542" t="str">
            <v/>
          </cell>
        </row>
        <row r="543">
          <cell r="Q543" t="str">
            <v/>
          </cell>
          <cell r="T543" t="str">
            <v/>
          </cell>
          <cell r="W543" t="str">
            <v/>
          </cell>
          <cell r="Z543" t="str">
            <v/>
          </cell>
        </row>
        <row r="544">
          <cell r="Q544" t="str">
            <v/>
          </cell>
          <cell r="T544" t="str">
            <v/>
          </cell>
          <cell r="W544" t="str">
            <v/>
          </cell>
          <cell r="Z544" t="str">
            <v/>
          </cell>
        </row>
        <row r="545">
          <cell r="Q545" t="str">
            <v/>
          </cell>
          <cell r="T545" t="str">
            <v/>
          </cell>
          <cell r="W545" t="str">
            <v/>
          </cell>
          <cell r="Z545" t="str">
            <v/>
          </cell>
        </row>
        <row r="546">
          <cell r="Q546" t="str">
            <v/>
          </cell>
          <cell r="T546" t="str">
            <v/>
          </cell>
          <cell r="W546" t="str">
            <v/>
          </cell>
          <cell r="Z546" t="str">
            <v/>
          </cell>
        </row>
        <row r="547">
          <cell r="Q547" t="str">
            <v/>
          </cell>
          <cell r="T547" t="str">
            <v/>
          </cell>
          <cell r="W547" t="str">
            <v/>
          </cell>
          <cell r="Z547" t="str">
            <v/>
          </cell>
        </row>
        <row r="548">
          <cell r="Q548" t="str">
            <v/>
          </cell>
          <cell r="T548" t="str">
            <v/>
          </cell>
          <cell r="W548" t="str">
            <v/>
          </cell>
          <cell r="Z548" t="str">
            <v/>
          </cell>
        </row>
        <row r="549">
          <cell r="Q549" t="str">
            <v/>
          </cell>
          <cell r="T549" t="str">
            <v/>
          </cell>
          <cell r="W549" t="str">
            <v/>
          </cell>
          <cell r="Z549" t="str">
            <v/>
          </cell>
        </row>
        <row r="550">
          <cell r="Q550" t="str">
            <v/>
          </cell>
          <cell r="T550" t="str">
            <v/>
          </cell>
          <cell r="W550" t="str">
            <v/>
          </cell>
          <cell r="Z550" t="str">
            <v/>
          </cell>
        </row>
        <row r="551">
          <cell r="Q551" t="str">
            <v/>
          </cell>
          <cell r="T551" t="str">
            <v/>
          </cell>
          <cell r="W551" t="str">
            <v/>
          </cell>
          <cell r="Z551" t="str">
            <v/>
          </cell>
        </row>
        <row r="552">
          <cell r="Q552" t="str">
            <v/>
          </cell>
          <cell r="T552" t="str">
            <v/>
          </cell>
          <cell r="W552" t="str">
            <v/>
          </cell>
          <cell r="Z552" t="str">
            <v/>
          </cell>
        </row>
        <row r="553">
          <cell r="Q553" t="str">
            <v/>
          </cell>
          <cell r="T553" t="str">
            <v/>
          </cell>
          <cell r="W553" t="str">
            <v/>
          </cell>
          <cell r="Z553" t="str">
            <v/>
          </cell>
        </row>
        <row r="554">
          <cell r="Q554" t="str">
            <v/>
          </cell>
          <cell r="T554" t="str">
            <v/>
          </cell>
          <cell r="W554" t="str">
            <v/>
          </cell>
          <cell r="Z554" t="str">
            <v/>
          </cell>
        </row>
        <row r="555">
          <cell r="Q555" t="str">
            <v/>
          </cell>
          <cell r="T555" t="str">
            <v/>
          </cell>
          <cell r="W555" t="str">
            <v/>
          </cell>
          <cell r="Z555" t="str">
            <v/>
          </cell>
        </row>
        <row r="556">
          <cell r="Q556" t="str">
            <v/>
          </cell>
          <cell r="T556" t="str">
            <v/>
          </cell>
          <cell r="W556" t="str">
            <v/>
          </cell>
          <cell r="Z556" t="str">
            <v/>
          </cell>
        </row>
        <row r="557">
          <cell r="Q557" t="str">
            <v/>
          </cell>
          <cell r="T557" t="str">
            <v/>
          </cell>
          <cell r="W557" t="str">
            <v/>
          </cell>
          <cell r="Z557" t="str">
            <v/>
          </cell>
        </row>
        <row r="558">
          <cell r="Q558" t="str">
            <v/>
          </cell>
          <cell r="T558" t="str">
            <v/>
          </cell>
          <cell r="W558" t="str">
            <v/>
          </cell>
          <cell r="Z558" t="str">
            <v/>
          </cell>
        </row>
        <row r="559">
          <cell r="Q559" t="str">
            <v/>
          </cell>
          <cell r="T559" t="str">
            <v/>
          </cell>
          <cell r="W559" t="str">
            <v/>
          </cell>
          <cell r="Z559" t="str">
            <v/>
          </cell>
        </row>
        <row r="560">
          <cell r="Q560" t="str">
            <v/>
          </cell>
          <cell r="T560" t="str">
            <v/>
          </cell>
          <cell r="W560" t="str">
            <v/>
          </cell>
          <cell r="Z560" t="str">
            <v/>
          </cell>
        </row>
        <row r="561">
          <cell r="Q561" t="str">
            <v/>
          </cell>
          <cell r="T561" t="str">
            <v/>
          </cell>
          <cell r="W561" t="str">
            <v/>
          </cell>
          <cell r="Z561" t="str">
            <v/>
          </cell>
        </row>
        <row r="562">
          <cell r="Q562" t="str">
            <v/>
          </cell>
          <cell r="T562" t="str">
            <v/>
          </cell>
          <cell r="W562" t="str">
            <v/>
          </cell>
          <cell r="Z562" t="str">
            <v/>
          </cell>
        </row>
        <row r="563">
          <cell r="Q563" t="str">
            <v/>
          </cell>
          <cell r="T563" t="str">
            <v/>
          </cell>
          <cell r="W563" t="str">
            <v/>
          </cell>
          <cell r="Z563" t="str">
            <v/>
          </cell>
        </row>
        <row r="564">
          <cell r="Q564" t="str">
            <v/>
          </cell>
          <cell r="T564" t="str">
            <v/>
          </cell>
          <cell r="W564" t="str">
            <v/>
          </cell>
          <cell r="Z564" t="str">
            <v/>
          </cell>
        </row>
        <row r="565">
          <cell r="Q565" t="str">
            <v/>
          </cell>
          <cell r="T565" t="str">
            <v/>
          </cell>
          <cell r="W565" t="str">
            <v/>
          </cell>
          <cell r="Z565" t="str">
            <v/>
          </cell>
        </row>
        <row r="566">
          <cell r="Q566" t="str">
            <v/>
          </cell>
          <cell r="T566" t="str">
            <v/>
          </cell>
          <cell r="W566" t="str">
            <v/>
          </cell>
          <cell r="Z566" t="str">
            <v/>
          </cell>
        </row>
        <row r="567">
          <cell r="Q567" t="str">
            <v/>
          </cell>
          <cell r="T567" t="str">
            <v/>
          </cell>
          <cell r="W567" t="str">
            <v/>
          </cell>
          <cell r="Z567" t="str">
            <v/>
          </cell>
        </row>
        <row r="568">
          <cell r="Q568" t="str">
            <v/>
          </cell>
          <cell r="T568" t="str">
            <v/>
          </cell>
          <cell r="W568" t="str">
            <v/>
          </cell>
          <cell r="Z568" t="str">
            <v/>
          </cell>
        </row>
        <row r="569">
          <cell r="Q569" t="str">
            <v/>
          </cell>
          <cell r="T569" t="str">
            <v/>
          </cell>
          <cell r="W569" t="str">
            <v/>
          </cell>
          <cell r="Z569" t="str">
            <v/>
          </cell>
        </row>
        <row r="570">
          <cell r="Q570" t="str">
            <v/>
          </cell>
          <cell r="T570" t="str">
            <v/>
          </cell>
          <cell r="W570" t="str">
            <v/>
          </cell>
          <cell r="Z570" t="str">
            <v/>
          </cell>
        </row>
        <row r="571">
          <cell r="Q571" t="str">
            <v/>
          </cell>
          <cell r="T571" t="str">
            <v/>
          </cell>
          <cell r="W571" t="str">
            <v/>
          </cell>
          <cell r="Z571" t="str">
            <v/>
          </cell>
        </row>
        <row r="572">
          <cell r="Q572" t="str">
            <v/>
          </cell>
          <cell r="T572" t="str">
            <v/>
          </cell>
          <cell r="W572" t="str">
            <v/>
          </cell>
          <cell r="Z572" t="str">
            <v/>
          </cell>
        </row>
        <row r="573">
          <cell r="Q573" t="str">
            <v/>
          </cell>
          <cell r="T573" t="str">
            <v/>
          </cell>
          <cell r="W573" t="str">
            <v/>
          </cell>
          <cell r="Z573" t="str">
            <v/>
          </cell>
        </row>
        <row r="574">
          <cell r="Q574" t="str">
            <v/>
          </cell>
          <cell r="T574" t="str">
            <v/>
          </cell>
          <cell r="W574" t="str">
            <v/>
          </cell>
          <cell r="Z574" t="str">
            <v/>
          </cell>
        </row>
        <row r="575">
          <cell r="Q575" t="str">
            <v/>
          </cell>
          <cell r="T575" t="str">
            <v/>
          </cell>
          <cell r="W575" t="str">
            <v/>
          </cell>
          <cell r="Z575" t="str">
            <v/>
          </cell>
        </row>
        <row r="576">
          <cell r="Q576" t="str">
            <v/>
          </cell>
          <cell r="T576" t="str">
            <v/>
          </cell>
          <cell r="W576" t="str">
            <v/>
          </cell>
          <cell r="Z576" t="str">
            <v/>
          </cell>
        </row>
        <row r="577">
          <cell r="Q577" t="str">
            <v/>
          </cell>
          <cell r="T577" t="str">
            <v/>
          </cell>
          <cell r="W577" t="str">
            <v/>
          </cell>
          <cell r="Z577" t="str">
            <v/>
          </cell>
        </row>
        <row r="578">
          <cell r="Q578" t="str">
            <v/>
          </cell>
          <cell r="T578" t="str">
            <v/>
          </cell>
          <cell r="W578" t="str">
            <v/>
          </cell>
          <cell r="Z578" t="str">
            <v/>
          </cell>
        </row>
        <row r="579">
          <cell r="Q579" t="str">
            <v/>
          </cell>
          <cell r="T579" t="str">
            <v/>
          </cell>
          <cell r="W579" t="str">
            <v/>
          </cell>
          <cell r="Z579" t="str">
            <v/>
          </cell>
        </row>
        <row r="580">
          <cell r="Q580" t="str">
            <v/>
          </cell>
          <cell r="T580" t="str">
            <v/>
          </cell>
          <cell r="W580" t="str">
            <v/>
          </cell>
          <cell r="Z580" t="str">
            <v/>
          </cell>
        </row>
        <row r="581">
          <cell r="Q581" t="str">
            <v/>
          </cell>
          <cell r="T581" t="str">
            <v/>
          </cell>
          <cell r="W581" t="str">
            <v/>
          </cell>
          <cell r="Z581" t="str">
            <v/>
          </cell>
        </row>
        <row r="582">
          <cell r="Q582" t="str">
            <v/>
          </cell>
          <cell r="T582" t="str">
            <v/>
          </cell>
          <cell r="W582" t="str">
            <v/>
          </cell>
          <cell r="Z582" t="str">
            <v/>
          </cell>
        </row>
        <row r="583">
          <cell r="Q583" t="str">
            <v/>
          </cell>
          <cell r="T583" t="str">
            <v/>
          </cell>
          <cell r="W583" t="str">
            <v/>
          </cell>
          <cell r="Z583" t="str">
            <v/>
          </cell>
        </row>
        <row r="584">
          <cell r="Q584" t="str">
            <v/>
          </cell>
          <cell r="T584" t="str">
            <v/>
          </cell>
          <cell r="W584" t="str">
            <v/>
          </cell>
          <cell r="Z584" t="str">
            <v/>
          </cell>
        </row>
        <row r="585">
          <cell r="Q585" t="str">
            <v/>
          </cell>
          <cell r="T585" t="str">
            <v/>
          </cell>
          <cell r="W585" t="str">
            <v/>
          </cell>
          <cell r="Z585" t="str">
            <v/>
          </cell>
        </row>
        <row r="586">
          <cell r="Q586" t="str">
            <v/>
          </cell>
          <cell r="T586" t="str">
            <v/>
          </cell>
          <cell r="W586" t="str">
            <v/>
          </cell>
          <cell r="Z586" t="str">
            <v/>
          </cell>
        </row>
        <row r="587">
          <cell r="Q587" t="str">
            <v/>
          </cell>
          <cell r="T587" t="str">
            <v/>
          </cell>
          <cell r="W587" t="str">
            <v/>
          </cell>
          <cell r="Z587" t="str">
            <v/>
          </cell>
        </row>
        <row r="588">
          <cell r="Q588" t="str">
            <v/>
          </cell>
          <cell r="T588" t="str">
            <v/>
          </cell>
          <cell r="W588" t="str">
            <v/>
          </cell>
          <cell r="Z588" t="str">
            <v/>
          </cell>
        </row>
        <row r="589">
          <cell r="Q589" t="str">
            <v/>
          </cell>
          <cell r="T589" t="str">
            <v/>
          </cell>
          <cell r="W589" t="str">
            <v/>
          </cell>
          <cell r="Z589" t="str">
            <v/>
          </cell>
        </row>
        <row r="590">
          <cell r="Q590" t="str">
            <v/>
          </cell>
          <cell r="T590" t="str">
            <v/>
          </cell>
          <cell r="W590" t="str">
            <v/>
          </cell>
          <cell r="Z590" t="str">
            <v/>
          </cell>
        </row>
        <row r="591">
          <cell r="Q591" t="str">
            <v/>
          </cell>
          <cell r="T591" t="str">
            <v/>
          </cell>
          <cell r="W591" t="str">
            <v/>
          </cell>
          <cell r="Z591" t="str">
            <v/>
          </cell>
        </row>
        <row r="592">
          <cell r="Q592" t="str">
            <v/>
          </cell>
          <cell r="T592" t="str">
            <v/>
          </cell>
          <cell r="W592" t="str">
            <v/>
          </cell>
          <cell r="Z592" t="str">
            <v/>
          </cell>
        </row>
        <row r="593">
          <cell r="Q593" t="str">
            <v/>
          </cell>
          <cell r="T593" t="str">
            <v/>
          </cell>
          <cell r="W593" t="str">
            <v/>
          </cell>
          <cell r="Z593" t="str">
            <v/>
          </cell>
        </row>
        <row r="594">
          <cell r="Q594" t="str">
            <v/>
          </cell>
          <cell r="T594" t="str">
            <v/>
          </cell>
          <cell r="W594" t="str">
            <v/>
          </cell>
          <cell r="Z594" t="str">
            <v/>
          </cell>
        </row>
        <row r="595">
          <cell r="Q595" t="str">
            <v/>
          </cell>
          <cell r="T595" t="str">
            <v/>
          </cell>
          <cell r="W595" t="str">
            <v/>
          </cell>
          <cell r="Z595" t="str">
            <v/>
          </cell>
        </row>
        <row r="596">
          <cell r="Q596" t="str">
            <v/>
          </cell>
          <cell r="T596" t="str">
            <v/>
          </cell>
          <cell r="W596" t="str">
            <v/>
          </cell>
          <cell r="Z596" t="str">
            <v/>
          </cell>
        </row>
        <row r="597">
          <cell r="Q597" t="str">
            <v/>
          </cell>
          <cell r="T597" t="str">
            <v/>
          </cell>
          <cell r="W597" t="str">
            <v/>
          </cell>
          <cell r="Z597" t="str">
            <v/>
          </cell>
        </row>
        <row r="598">
          <cell r="Q598" t="str">
            <v/>
          </cell>
          <cell r="T598" t="str">
            <v/>
          </cell>
          <cell r="W598" t="str">
            <v/>
          </cell>
          <cell r="Z598" t="str">
            <v/>
          </cell>
        </row>
        <row r="599">
          <cell r="Q599" t="str">
            <v/>
          </cell>
          <cell r="T599" t="str">
            <v/>
          </cell>
          <cell r="W599" t="str">
            <v/>
          </cell>
          <cell r="Z599" t="str">
            <v/>
          </cell>
        </row>
        <row r="600">
          <cell r="Q600" t="str">
            <v/>
          </cell>
          <cell r="T600" t="str">
            <v/>
          </cell>
          <cell r="W600" t="str">
            <v/>
          </cell>
          <cell r="Z600" t="str">
            <v/>
          </cell>
        </row>
        <row r="601">
          <cell r="Q601" t="str">
            <v/>
          </cell>
          <cell r="T601" t="str">
            <v/>
          </cell>
          <cell r="W601" t="str">
            <v/>
          </cell>
          <cell r="Z601" t="str">
            <v/>
          </cell>
        </row>
        <row r="602">
          <cell r="Q602" t="str">
            <v/>
          </cell>
          <cell r="T602" t="str">
            <v/>
          </cell>
          <cell r="W602" t="str">
            <v/>
          </cell>
          <cell r="Z602" t="str">
            <v/>
          </cell>
        </row>
        <row r="603">
          <cell r="Q603" t="str">
            <v/>
          </cell>
          <cell r="T603" t="str">
            <v/>
          </cell>
          <cell r="W603" t="str">
            <v/>
          </cell>
          <cell r="Z603" t="str">
            <v/>
          </cell>
        </row>
        <row r="604">
          <cell r="Q604" t="str">
            <v/>
          </cell>
          <cell r="T604" t="str">
            <v/>
          </cell>
          <cell r="W604" t="str">
            <v/>
          </cell>
          <cell r="Z604" t="str">
            <v/>
          </cell>
        </row>
        <row r="605">
          <cell r="Q605" t="str">
            <v/>
          </cell>
          <cell r="T605" t="str">
            <v/>
          </cell>
          <cell r="W605" t="str">
            <v/>
          </cell>
          <cell r="Z605" t="str">
            <v/>
          </cell>
        </row>
        <row r="606">
          <cell r="Q606" t="str">
            <v/>
          </cell>
          <cell r="T606" t="str">
            <v/>
          </cell>
          <cell r="W606" t="str">
            <v/>
          </cell>
          <cell r="Z606" t="str">
            <v/>
          </cell>
        </row>
        <row r="607">
          <cell r="Q607" t="str">
            <v/>
          </cell>
          <cell r="T607" t="str">
            <v/>
          </cell>
          <cell r="W607" t="str">
            <v/>
          </cell>
          <cell r="Z607" t="str">
            <v/>
          </cell>
        </row>
        <row r="608">
          <cell r="Q608" t="str">
            <v/>
          </cell>
          <cell r="T608" t="str">
            <v/>
          </cell>
          <cell r="W608" t="str">
            <v/>
          </cell>
          <cell r="Z608" t="str">
            <v/>
          </cell>
        </row>
        <row r="609">
          <cell r="Q609" t="str">
            <v/>
          </cell>
          <cell r="T609" t="str">
            <v/>
          </cell>
          <cell r="W609" t="str">
            <v/>
          </cell>
          <cell r="Z609" t="str">
            <v/>
          </cell>
        </row>
        <row r="610">
          <cell r="Q610" t="str">
            <v/>
          </cell>
          <cell r="T610" t="str">
            <v/>
          </cell>
          <cell r="W610" t="str">
            <v/>
          </cell>
          <cell r="Z610" t="str">
            <v/>
          </cell>
        </row>
        <row r="611">
          <cell r="Q611" t="str">
            <v/>
          </cell>
          <cell r="T611" t="str">
            <v/>
          </cell>
          <cell r="W611" t="str">
            <v/>
          </cell>
          <cell r="Z611" t="str">
            <v/>
          </cell>
        </row>
        <row r="612">
          <cell r="Q612" t="str">
            <v/>
          </cell>
          <cell r="T612" t="str">
            <v/>
          </cell>
          <cell r="W612" t="str">
            <v/>
          </cell>
          <cell r="Z612" t="str">
            <v/>
          </cell>
        </row>
        <row r="613">
          <cell r="Q613" t="str">
            <v/>
          </cell>
          <cell r="T613" t="str">
            <v/>
          </cell>
          <cell r="W613" t="str">
            <v/>
          </cell>
          <cell r="Z613" t="str">
            <v/>
          </cell>
        </row>
        <row r="614">
          <cell r="Q614" t="str">
            <v/>
          </cell>
          <cell r="T614" t="str">
            <v/>
          </cell>
          <cell r="W614" t="str">
            <v/>
          </cell>
          <cell r="Z614" t="str">
            <v/>
          </cell>
        </row>
        <row r="615">
          <cell r="Q615" t="str">
            <v/>
          </cell>
          <cell r="T615" t="str">
            <v/>
          </cell>
          <cell r="W615" t="str">
            <v/>
          </cell>
          <cell r="Z615" t="str">
            <v/>
          </cell>
        </row>
        <row r="616">
          <cell r="Q616" t="str">
            <v/>
          </cell>
          <cell r="T616" t="str">
            <v/>
          </cell>
          <cell r="W616" t="str">
            <v/>
          </cell>
          <cell r="Z616" t="str">
            <v/>
          </cell>
        </row>
        <row r="617">
          <cell r="Q617" t="str">
            <v/>
          </cell>
          <cell r="T617" t="str">
            <v/>
          </cell>
          <cell r="W617" t="str">
            <v/>
          </cell>
          <cell r="Z617" t="str">
            <v/>
          </cell>
        </row>
        <row r="618">
          <cell r="Q618" t="str">
            <v/>
          </cell>
          <cell r="T618" t="str">
            <v/>
          </cell>
          <cell r="W618" t="str">
            <v/>
          </cell>
          <cell r="Z618" t="str">
            <v/>
          </cell>
        </row>
        <row r="619">
          <cell r="Q619" t="str">
            <v/>
          </cell>
          <cell r="T619" t="str">
            <v/>
          </cell>
          <cell r="W619" t="str">
            <v/>
          </cell>
          <cell r="Z619" t="str">
            <v/>
          </cell>
        </row>
        <row r="620">
          <cell r="Q620" t="str">
            <v/>
          </cell>
          <cell r="T620" t="str">
            <v/>
          </cell>
          <cell r="W620" t="str">
            <v/>
          </cell>
          <cell r="Z620" t="str">
            <v/>
          </cell>
        </row>
        <row r="621">
          <cell r="Q621" t="str">
            <v/>
          </cell>
          <cell r="T621" t="str">
            <v/>
          </cell>
          <cell r="W621" t="str">
            <v/>
          </cell>
          <cell r="Z621" t="str">
            <v/>
          </cell>
        </row>
        <row r="622">
          <cell r="Q622" t="str">
            <v/>
          </cell>
          <cell r="T622" t="str">
            <v/>
          </cell>
          <cell r="W622" t="str">
            <v/>
          </cell>
          <cell r="Z622" t="str">
            <v/>
          </cell>
        </row>
        <row r="623">
          <cell r="Q623" t="str">
            <v/>
          </cell>
          <cell r="T623" t="str">
            <v/>
          </cell>
          <cell r="W623" t="str">
            <v/>
          </cell>
          <cell r="Z623" t="str">
            <v/>
          </cell>
        </row>
        <row r="624">
          <cell r="Q624" t="str">
            <v/>
          </cell>
          <cell r="T624" t="str">
            <v/>
          </cell>
          <cell r="W624" t="str">
            <v/>
          </cell>
          <cell r="Z624" t="str">
            <v/>
          </cell>
        </row>
        <row r="625">
          <cell r="Q625" t="str">
            <v/>
          </cell>
          <cell r="T625" t="str">
            <v/>
          </cell>
          <cell r="W625" t="str">
            <v/>
          </cell>
          <cell r="Z625" t="str">
            <v/>
          </cell>
        </row>
        <row r="626">
          <cell r="Q626" t="str">
            <v/>
          </cell>
          <cell r="T626" t="str">
            <v/>
          </cell>
          <cell r="W626" t="str">
            <v/>
          </cell>
          <cell r="Z626" t="str">
            <v/>
          </cell>
        </row>
        <row r="627">
          <cell r="Q627" t="str">
            <v/>
          </cell>
          <cell r="T627" t="str">
            <v/>
          </cell>
          <cell r="W627" t="str">
            <v/>
          </cell>
          <cell r="Z627" t="str">
            <v/>
          </cell>
        </row>
        <row r="628">
          <cell r="Q628" t="str">
            <v/>
          </cell>
          <cell r="T628" t="str">
            <v/>
          </cell>
          <cell r="W628" t="str">
            <v/>
          </cell>
          <cell r="Z628" t="str">
            <v/>
          </cell>
        </row>
        <row r="629">
          <cell r="Q629" t="str">
            <v/>
          </cell>
          <cell r="T629" t="str">
            <v/>
          </cell>
          <cell r="W629" t="str">
            <v/>
          </cell>
          <cell r="Z629" t="str">
            <v/>
          </cell>
        </row>
        <row r="630">
          <cell r="Q630" t="str">
            <v/>
          </cell>
          <cell r="T630" t="str">
            <v/>
          </cell>
          <cell r="W630" t="str">
            <v/>
          </cell>
          <cell r="Z630" t="str">
            <v/>
          </cell>
        </row>
        <row r="631">
          <cell r="Q631" t="str">
            <v/>
          </cell>
          <cell r="T631" t="str">
            <v/>
          </cell>
          <cell r="W631" t="str">
            <v/>
          </cell>
          <cell r="Z631" t="str">
            <v/>
          </cell>
        </row>
        <row r="632">
          <cell r="Q632" t="str">
            <v/>
          </cell>
          <cell r="T632" t="str">
            <v/>
          </cell>
          <cell r="W632" t="str">
            <v/>
          </cell>
          <cell r="Z632" t="str">
            <v/>
          </cell>
        </row>
        <row r="633">
          <cell r="Q633" t="str">
            <v/>
          </cell>
          <cell r="T633" t="str">
            <v/>
          </cell>
          <cell r="W633" t="str">
            <v/>
          </cell>
          <cell r="Z633" t="str">
            <v/>
          </cell>
        </row>
        <row r="634">
          <cell r="Q634" t="str">
            <v/>
          </cell>
          <cell r="T634" t="str">
            <v/>
          </cell>
          <cell r="W634" t="str">
            <v/>
          </cell>
          <cell r="Z634" t="str">
            <v/>
          </cell>
        </row>
        <row r="635">
          <cell r="Q635" t="str">
            <v/>
          </cell>
          <cell r="T635" t="str">
            <v/>
          </cell>
          <cell r="W635" t="str">
            <v/>
          </cell>
          <cell r="Z635" t="str">
            <v/>
          </cell>
        </row>
        <row r="636">
          <cell r="Q636" t="str">
            <v/>
          </cell>
          <cell r="T636" t="str">
            <v/>
          </cell>
          <cell r="W636" t="str">
            <v/>
          </cell>
          <cell r="Z636" t="str">
            <v/>
          </cell>
        </row>
        <row r="637">
          <cell r="Q637" t="str">
            <v/>
          </cell>
          <cell r="T637" t="str">
            <v/>
          </cell>
          <cell r="W637" t="str">
            <v/>
          </cell>
          <cell r="Z637" t="str">
            <v/>
          </cell>
        </row>
        <row r="638">
          <cell r="Q638" t="str">
            <v/>
          </cell>
          <cell r="T638" t="str">
            <v/>
          </cell>
          <cell r="W638" t="str">
            <v/>
          </cell>
          <cell r="Z638" t="str">
            <v/>
          </cell>
        </row>
        <row r="639">
          <cell r="Q639" t="str">
            <v/>
          </cell>
          <cell r="T639" t="str">
            <v/>
          </cell>
          <cell r="W639" t="str">
            <v/>
          </cell>
          <cell r="Z639" t="str">
            <v/>
          </cell>
        </row>
        <row r="640">
          <cell r="Q640" t="str">
            <v/>
          </cell>
          <cell r="T640" t="str">
            <v/>
          </cell>
          <cell r="W640" t="str">
            <v/>
          </cell>
          <cell r="Z640" t="str">
            <v/>
          </cell>
        </row>
        <row r="641">
          <cell r="Q641" t="str">
            <v/>
          </cell>
          <cell r="T641" t="str">
            <v/>
          </cell>
          <cell r="W641" t="str">
            <v/>
          </cell>
          <cell r="Z641" t="str">
            <v/>
          </cell>
        </row>
        <row r="642">
          <cell r="Q642" t="str">
            <v/>
          </cell>
          <cell r="T642" t="str">
            <v/>
          </cell>
          <cell r="W642" t="str">
            <v/>
          </cell>
          <cell r="Z642" t="str">
            <v/>
          </cell>
        </row>
        <row r="643">
          <cell r="Q643" t="str">
            <v/>
          </cell>
          <cell r="T643" t="str">
            <v/>
          </cell>
          <cell r="W643" t="str">
            <v/>
          </cell>
          <cell r="Z643" t="str">
            <v/>
          </cell>
        </row>
        <row r="644">
          <cell r="Q644" t="str">
            <v/>
          </cell>
          <cell r="T644" t="str">
            <v/>
          </cell>
          <cell r="W644" t="str">
            <v/>
          </cell>
          <cell r="Z644" t="str">
            <v/>
          </cell>
        </row>
        <row r="645">
          <cell r="Q645" t="str">
            <v/>
          </cell>
          <cell r="T645" t="str">
            <v/>
          </cell>
          <cell r="W645" t="str">
            <v/>
          </cell>
          <cell r="Z645" t="str">
            <v/>
          </cell>
        </row>
        <row r="646">
          <cell r="Q646" t="str">
            <v/>
          </cell>
          <cell r="T646" t="str">
            <v/>
          </cell>
          <cell r="W646" t="str">
            <v/>
          </cell>
          <cell r="Z646" t="str">
            <v/>
          </cell>
        </row>
        <row r="647">
          <cell r="Q647" t="str">
            <v/>
          </cell>
          <cell r="T647" t="str">
            <v/>
          </cell>
          <cell r="W647" t="str">
            <v/>
          </cell>
          <cell r="Z647" t="str">
            <v/>
          </cell>
        </row>
        <row r="648">
          <cell r="Q648" t="str">
            <v/>
          </cell>
          <cell r="T648" t="str">
            <v/>
          </cell>
          <cell r="W648" t="str">
            <v/>
          </cell>
          <cell r="Z648" t="str">
            <v/>
          </cell>
        </row>
        <row r="649">
          <cell r="Q649" t="str">
            <v/>
          </cell>
          <cell r="T649" t="str">
            <v/>
          </cell>
          <cell r="W649" t="str">
            <v/>
          </cell>
          <cell r="Z649" t="str">
            <v/>
          </cell>
        </row>
        <row r="650">
          <cell r="Q650" t="str">
            <v/>
          </cell>
          <cell r="T650" t="str">
            <v/>
          </cell>
          <cell r="W650" t="str">
            <v/>
          </cell>
          <cell r="Z650" t="str">
            <v/>
          </cell>
        </row>
        <row r="651">
          <cell r="Q651" t="str">
            <v/>
          </cell>
          <cell r="T651" t="str">
            <v/>
          </cell>
          <cell r="W651" t="str">
            <v/>
          </cell>
          <cell r="Z651" t="str">
            <v/>
          </cell>
        </row>
        <row r="652">
          <cell r="Q652" t="str">
            <v/>
          </cell>
          <cell r="T652" t="str">
            <v/>
          </cell>
          <cell r="W652" t="str">
            <v/>
          </cell>
          <cell r="Z652" t="str">
            <v/>
          </cell>
        </row>
        <row r="653">
          <cell r="Q653" t="str">
            <v/>
          </cell>
          <cell r="T653" t="str">
            <v/>
          </cell>
          <cell r="W653" t="str">
            <v/>
          </cell>
          <cell r="Z653" t="str">
            <v/>
          </cell>
        </row>
        <row r="654">
          <cell r="Q654" t="str">
            <v/>
          </cell>
          <cell r="T654" t="str">
            <v/>
          </cell>
          <cell r="W654" t="str">
            <v/>
          </cell>
          <cell r="Z654" t="str">
            <v/>
          </cell>
        </row>
        <row r="655">
          <cell r="Q655" t="str">
            <v/>
          </cell>
          <cell r="T655" t="str">
            <v/>
          </cell>
          <cell r="W655" t="str">
            <v/>
          </cell>
          <cell r="Z655" t="str">
            <v/>
          </cell>
        </row>
        <row r="656">
          <cell r="Q656" t="str">
            <v/>
          </cell>
          <cell r="T656" t="str">
            <v/>
          </cell>
          <cell r="W656" t="str">
            <v/>
          </cell>
          <cell r="Z656" t="str">
            <v/>
          </cell>
        </row>
        <row r="657">
          <cell r="Q657" t="str">
            <v/>
          </cell>
          <cell r="T657" t="str">
            <v/>
          </cell>
          <cell r="W657" t="str">
            <v/>
          </cell>
          <cell r="Z657" t="str">
            <v/>
          </cell>
        </row>
        <row r="658">
          <cell r="Q658" t="str">
            <v/>
          </cell>
          <cell r="T658" t="str">
            <v/>
          </cell>
          <cell r="W658" t="str">
            <v/>
          </cell>
          <cell r="Z658" t="str">
            <v/>
          </cell>
        </row>
        <row r="659">
          <cell r="Q659" t="str">
            <v/>
          </cell>
          <cell r="T659" t="str">
            <v/>
          </cell>
          <cell r="W659" t="str">
            <v/>
          </cell>
          <cell r="Z659" t="str">
            <v/>
          </cell>
        </row>
        <row r="660">
          <cell r="Q660" t="str">
            <v/>
          </cell>
          <cell r="T660" t="str">
            <v/>
          </cell>
          <cell r="W660" t="str">
            <v/>
          </cell>
          <cell r="Z660" t="str">
            <v/>
          </cell>
        </row>
        <row r="661">
          <cell r="Q661" t="str">
            <v/>
          </cell>
          <cell r="T661" t="str">
            <v/>
          </cell>
          <cell r="W661" t="str">
            <v/>
          </cell>
          <cell r="Z661" t="str">
            <v/>
          </cell>
        </row>
        <row r="662">
          <cell r="Q662" t="str">
            <v/>
          </cell>
          <cell r="T662" t="str">
            <v/>
          </cell>
          <cell r="W662" t="str">
            <v/>
          </cell>
          <cell r="Z662" t="str">
            <v/>
          </cell>
        </row>
        <row r="663">
          <cell r="Q663" t="str">
            <v/>
          </cell>
          <cell r="T663" t="str">
            <v/>
          </cell>
          <cell r="W663" t="str">
            <v/>
          </cell>
          <cell r="Z663" t="str">
            <v/>
          </cell>
        </row>
        <row r="664">
          <cell r="Q664" t="str">
            <v/>
          </cell>
          <cell r="T664" t="str">
            <v/>
          </cell>
          <cell r="W664" t="str">
            <v/>
          </cell>
          <cell r="Z664" t="str">
            <v/>
          </cell>
        </row>
        <row r="665">
          <cell r="Q665" t="str">
            <v/>
          </cell>
          <cell r="T665" t="str">
            <v/>
          </cell>
          <cell r="W665" t="str">
            <v/>
          </cell>
          <cell r="Z665" t="str">
            <v/>
          </cell>
        </row>
        <row r="666">
          <cell r="Q666" t="str">
            <v/>
          </cell>
          <cell r="T666" t="str">
            <v/>
          </cell>
          <cell r="W666" t="str">
            <v/>
          </cell>
          <cell r="Z666" t="str">
            <v/>
          </cell>
        </row>
        <row r="667">
          <cell r="Q667" t="str">
            <v/>
          </cell>
          <cell r="T667" t="str">
            <v/>
          </cell>
          <cell r="W667" t="str">
            <v/>
          </cell>
          <cell r="Z667" t="str">
            <v/>
          </cell>
        </row>
        <row r="668">
          <cell r="Q668" t="str">
            <v/>
          </cell>
          <cell r="T668" t="str">
            <v/>
          </cell>
          <cell r="W668" t="str">
            <v/>
          </cell>
          <cell r="Z668" t="str">
            <v/>
          </cell>
        </row>
        <row r="669">
          <cell r="Q669" t="str">
            <v/>
          </cell>
          <cell r="T669" t="str">
            <v/>
          </cell>
          <cell r="W669" t="str">
            <v/>
          </cell>
          <cell r="Z669" t="str">
            <v/>
          </cell>
        </row>
        <row r="670">
          <cell r="Q670" t="str">
            <v/>
          </cell>
          <cell r="T670" t="str">
            <v/>
          </cell>
          <cell r="W670" t="str">
            <v/>
          </cell>
          <cell r="Z670" t="str">
            <v/>
          </cell>
        </row>
        <row r="671">
          <cell r="Q671" t="str">
            <v/>
          </cell>
          <cell r="T671" t="str">
            <v/>
          </cell>
          <cell r="W671" t="str">
            <v/>
          </cell>
          <cell r="Z671" t="str">
            <v/>
          </cell>
        </row>
        <row r="672">
          <cell r="Q672" t="str">
            <v/>
          </cell>
          <cell r="T672" t="str">
            <v/>
          </cell>
          <cell r="W672" t="str">
            <v/>
          </cell>
          <cell r="Z672" t="str">
            <v/>
          </cell>
        </row>
        <row r="673">
          <cell r="Q673" t="str">
            <v/>
          </cell>
          <cell r="T673" t="str">
            <v/>
          </cell>
          <cell r="W673" t="str">
            <v/>
          </cell>
          <cell r="Z673" t="str">
            <v/>
          </cell>
        </row>
        <row r="674">
          <cell r="Q674" t="str">
            <v/>
          </cell>
          <cell r="T674" t="str">
            <v/>
          </cell>
          <cell r="W674" t="str">
            <v/>
          </cell>
          <cell r="Z674" t="str">
            <v/>
          </cell>
        </row>
        <row r="675">
          <cell r="Q675" t="str">
            <v/>
          </cell>
          <cell r="T675" t="str">
            <v/>
          </cell>
          <cell r="W675" t="str">
            <v/>
          </cell>
          <cell r="Z675" t="str">
            <v/>
          </cell>
        </row>
        <row r="676">
          <cell r="Q676" t="str">
            <v/>
          </cell>
          <cell r="T676" t="str">
            <v/>
          </cell>
          <cell r="W676" t="str">
            <v/>
          </cell>
          <cell r="Z676" t="str">
            <v/>
          </cell>
        </row>
        <row r="677">
          <cell r="Q677" t="str">
            <v/>
          </cell>
          <cell r="T677" t="str">
            <v/>
          </cell>
          <cell r="W677" t="str">
            <v/>
          </cell>
          <cell r="Z677" t="str">
            <v/>
          </cell>
        </row>
        <row r="678">
          <cell r="Q678" t="str">
            <v/>
          </cell>
          <cell r="T678" t="str">
            <v/>
          </cell>
          <cell r="W678" t="str">
            <v/>
          </cell>
          <cell r="Z678" t="str">
            <v/>
          </cell>
        </row>
        <row r="679">
          <cell r="Q679" t="str">
            <v/>
          </cell>
          <cell r="T679" t="str">
            <v/>
          </cell>
          <cell r="W679" t="str">
            <v/>
          </cell>
          <cell r="Z679" t="str">
            <v/>
          </cell>
        </row>
        <row r="680">
          <cell r="Q680" t="str">
            <v/>
          </cell>
          <cell r="T680" t="str">
            <v/>
          </cell>
          <cell r="W680" t="str">
            <v/>
          </cell>
          <cell r="Z680" t="str">
            <v/>
          </cell>
        </row>
        <row r="681">
          <cell r="Q681" t="str">
            <v/>
          </cell>
          <cell r="T681" t="str">
            <v/>
          </cell>
          <cell r="W681" t="str">
            <v/>
          </cell>
          <cell r="Z681" t="str">
            <v/>
          </cell>
        </row>
        <row r="682">
          <cell r="Q682" t="str">
            <v/>
          </cell>
          <cell r="T682" t="str">
            <v/>
          </cell>
          <cell r="W682" t="str">
            <v/>
          </cell>
          <cell r="Z682" t="str">
            <v/>
          </cell>
        </row>
        <row r="683">
          <cell r="Q683" t="str">
            <v/>
          </cell>
          <cell r="T683" t="str">
            <v/>
          </cell>
          <cell r="W683" t="str">
            <v/>
          </cell>
          <cell r="Z683" t="str">
            <v/>
          </cell>
        </row>
        <row r="684">
          <cell r="Q684" t="str">
            <v/>
          </cell>
          <cell r="T684" t="str">
            <v/>
          </cell>
          <cell r="W684" t="str">
            <v/>
          </cell>
          <cell r="Z684" t="str">
            <v/>
          </cell>
        </row>
        <row r="685">
          <cell r="Q685" t="str">
            <v/>
          </cell>
          <cell r="T685" t="str">
            <v/>
          </cell>
          <cell r="W685" t="str">
            <v/>
          </cell>
          <cell r="Z685" t="str">
            <v/>
          </cell>
        </row>
        <row r="686">
          <cell r="Q686" t="str">
            <v/>
          </cell>
          <cell r="T686" t="str">
            <v/>
          </cell>
          <cell r="W686" t="str">
            <v/>
          </cell>
          <cell r="Z686" t="str">
            <v/>
          </cell>
        </row>
        <row r="687">
          <cell r="Q687" t="str">
            <v/>
          </cell>
          <cell r="T687" t="str">
            <v/>
          </cell>
          <cell r="W687" t="str">
            <v/>
          </cell>
          <cell r="Z687" t="str">
            <v/>
          </cell>
        </row>
        <row r="688">
          <cell r="Q688" t="str">
            <v/>
          </cell>
          <cell r="T688" t="str">
            <v/>
          </cell>
          <cell r="W688" t="str">
            <v/>
          </cell>
          <cell r="Z688" t="str">
            <v/>
          </cell>
        </row>
        <row r="689">
          <cell r="Q689" t="str">
            <v/>
          </cell>
          <cell r="T689" t="str">
            <v/>
          </cell>
          <cell r="W689" t="str">
            <v/>
          </cell>
          <cell r="Z689" t="str">
            <v/>
          </cell>
        </row>
        <row r="690">
          <cell r="Q690" t="str">
            <v/>
          </cell>
          <cell r="T690" t="str">
            <v/>
          </cell>
          <cell r="W690" t="str">
            <v/>
          </cell>
          <cell r="Z690" t="str">
            <v/>
          </cell>
        </row>
        <row r="691">
          <cell r="Q691" t="str">
            <v/>
          </cell>
          <cell r="T691" t="str">
            <v/>
          </cell>
          <cell r="W691" t="str">
            <v/>
          </cell>
          <cell r="Z691" t="str">
            <v/>
          </cell>
        </row>
        <row r="692">
          <cell r="Q692" t="str">
            <v/>
          </cell>
          <cell r="T692" t="str">
            <v/>
          </cell>
          <cell r="W692" t="str">
            <v/>
          </cell>
          <cell r="Z692" t="str">
            <v/>
          </cell>
        </row>
        <row r="693">
          <cell r="Q693" t="str">
            <v/>
          </cell>
          <cell r="T693" t="str">
            <v/>
          </cell>
          <cell r="W693" t="str">
            <v/>
          </cell>
          <cell r="Z693" t="str">
            <v/>
          </cell>
        </row>
        <row r="694">
          <cell r="Q694" t="str">
            <v/>
          </cell>
          <cell r="T694" t="str">
            <v/>
          </cell>
          <cell r="W694" t="str">
            <v/>
          </cell>
          <cell r="Z694" t="str">
            <v/>
          </cell>
        </row>
        <row r="695">
          <cell r="Q695" t="str">
            <v/>
          </cell>
          <cell r="T695" t="str">
            <v/>
          </cell>
          <cell r="W695" t="str">
            <v/>
          </cell>
          <cell r="Z695" t="str">
            <v/>
          </cell>
        </row>
        <row r="696">
          <cell r="Q696" t="str">
            <v/>
          </cell>
          <cell r="T696" t="str">
            <v/>
          </cell>
          <cell r="W696" t="str">
            <v/>
          </cell>
          <cell r="Z696" t="str">
            <v/>
          </cell>
        </row>
        <row r="697">
          <cell r="Q697" t="str">
            <v/>
          </cell>
          <cell r="T697" t="str">
            <v/>
          </cell>
          <cell r="W697" t="str">
            <v/>
          </cell>
          <cell r="Z697" t="str">
            <v/>
          </cell>
        </row>
        <row r="698">
          <cell r="Q698" t="str">
            <v/>
          </cell>
          <cell r="T698" t="str">
            <v/>
          </cell>
          <cell r="W698" t="str">
            <v/>
          </cell>
          <cell r="Z698" t="str">
            <v/>
          </cell>
        </row>
        <row r="699">
          <cell r="Q699" t="str">
            <v/>
          </cell>
          <cell r="T699" t="str">
            <v/>
          </cell>
          <cell r="W699" t="str">
            <v/>
          </cell>
          <cell r="Z699" t="str">
            <v/>
          </cell>
        </row>
        <row r="700">
          <cell r="Q700" t="str">
            <v/>
          </cell>
          <cell r="T700" t="str">
            <v/>
          </cell>
          <cell r="W700" t="str">
            <v/>
          </cell>
          <cell r="Z700" t="str">
            <v/>
          </cell>
        </row>
        <row r="701">
          <cell r="Q701" t="str">
            <v/>
          </cell>
          <cell r="T701" t="str">
            <v/>
          </cell>
          <cell r="W701" t="str">
            <v/>
          </cell>
          <cell r="Z701" t="str">
            <v/>
          </cell>
        </row>
        <row r="702">
          <cell r="Q702" t="str">
            <v/>
          </cell>
          <cell r="T702" t="str">
            <v/>
          </cell>
          <cell r="W702" t="str">
            <v/>
          </cell>
          <cell r="Z702" t="str">
            <v/>
          </cell>
        </row>
        <row r="703">
          <cell r="Q703" t="str">
            <v/>
          </cell>
          <cell r="T703" t="str">
            <v/>
          </cell>
          <cell r="W703" t="str">
            <v/>
          </cell>
          <cell r="Z703" t="str">
            <v/>
          </cell>
        </row>
        <row r="704">
          <cell r="Q704" t="str">
            <v/>
          </cell>
          <cell r="T704" t="str">
            <v/>
          </cell>
          <cell r="W704" t="str">
            <v/>
          </cell>
          <cell r="Z704" t="str">
            <v/>
          </cell>
        </row>
        <row r="705">
          <cell r="Q705" t="str">
            <v/>
          </cell>
          <cell r="T705" t="str">
            <v/>
          </cell>
          <cell r="W705" t="str">
            <v/>
          </cell>
          <cell r="Z705" t="str">
            <v/>
          </cell>
        </row>
        <row r="706">
          <cell r="Q706" t="str">
            <v/>
          </cell>
          <cell r="T706" t="str">
            <v/>
          </cell>
          <cell r="W706" t="str">
            <v/>
          </cell>
          <cell r="Z706" t="str">
            <v/>
          </cell>
        </row>
        <row r="707">
          <cell r="Q707" t="str">
            <v/>
          </cell>
          <cell r="T707" t="str">
            <v/>
          </cell>
          <cell r="W707" t="str">
            <v/>
          </cell>
          <cell r="Z707" t="str">
            <v/>
          </cell>
        </row>
        <row r="708">
          <cell r="Q708" t="str">
            <v/>
          </cell>
          <cell r="T708" t="str">
            <v/>
          </cell>
          <cell r="W708" t="str">
            <v/>
          </cell>
          <cell r="Z708" t="str">
            <v/>
          </cell>
        </row>
        <row r="709">
          <cell r="Q709" t="str">
            <v/>
          </cell>
          <cell r="T709" t="str">
            <v/>
          </cell>
          <cell r="W709" t="str">
            <v/>
          </cell>
          <cell r="Z709" t="str">
            <v/>
          </cell>
        </row>
        <row r="710">
          <cell r="Q710" t="str">
            <v/>
          </cell>
          <cell r="T710" t="str">
            <v/>
          </cell>
          <cell r="W710" t="str">
            <v/>
          </cell>
          <cell r="Z710" t="str">
            <v/>
          </cell>
        </row>
        <row r="711">
          <cell r="Q711" t="str">
            <v/>
          </cell>
          <cell r="T711" t="str">
            <v/>
          </cell>
          <cell r="W711" t="str">
            <v/>
          </cell>
          <cell r="Z711" t="str">
            <v/>
          </cell>
        </row>
        <row r="712">
          <cell r="Q712" t="str">
            <v/>
          </cell>
          <cell r="T712" t="str">
            <v/>
          </cell>
          <cell r="W712" t="str">
            <v/>
          </cell>
          <cell r="Z712" t="str">
            <v/>
          </cell>
        </row>
        <row r="713">
          <cell r="Q713" t="str">
            <v/>
          </cell>
          <cell r="T713" t="str">
            <v/>
          </cell>
          <cell r="W713" t="str">
            <v/>
          </cell>
          <cell r="Z713" t="str">
            <v/>
          </cell>
        </row>
        <row r="714">
          <cell r="Q714" t="str">
            <v/>
          </cell>
          <cell r="T714" t="str">
            <v/>
          </cell>
          <cell r="W714" t="str">
            <v/>
          </cell>
          <cell r="Z714" t="str">
            <v/>
          </cell>
        </row>
        <row r="715">
          <cell r="Q715" t="str">
            <v/>
          </cell>
          <cell r="T715" t="str">
            <v/>
          </cell>
          <cell r="W715" t="str">
            <v/>
          </cell>
          <cell r="Z715" t="str">
            <v/>
          </cell>
        </row>
        <row r="716">
          <cell r="Q716" t="str">
            <v/>
          </cell>
          <cell r="T716" t="str">
            <v/>
          </cell>
          <cell r="W716" t="str">
            <v/>
          </cell>
          <cell r="Z716" t="str">
            <v/>
          </cell>
        </row>
        <row r="717">
          <cell r="Q717" t="str">
            <v/>
          </cell>
          <cell r="T717" t="str">
            <v/>
          </cell>
          <cell r="W717" t="str">
            <v/>
          </cell>
          <cell r="Z717" t="str">
            <v/>
          </cell>
        </row>
        <row r="718">
          <cell r="Q718" t="str">
            <v/>
          </cell>
          <cell r="T718" t="str">
            <v/>
          </cell>
          <cell r="W718" t="str">
            <v/>
          </cell>
          <cell r="Z718" t="str">
            <v/>
          </cell>
        </row>
        <row r="719">
          <cell r="Q719" t="str">
            <v/>
          </cell>
          <cell r="T719" t="str">
            <v/>
          </cell>
          <cell r="W719" t="str">
            <v/>
          </cell>
          <cell r="Z719" t="str">
            <v/>
          </cell>
        </row>
        <row r="720">
          <cell r="Q720" t="str">
            <v/>
          </cell>
          <cell r="T720" t="str">
            <v/>
          </cell>
          <cell r="W720" t="str">
            <v/>
          </cell>
          <cell r="Z720" t="str">
            <v/>
          </cell>
        </row>
        <row r="721">
          <cell r="Q721" t="str">
            <v/>
          </cell>
          <cell r="T721" t="str">
            <v/>
          </cell>
          <cell r="W721" t="str">
            <v/>
          </cell>
          <cell r="Z721" t="str">
            <v/>
          </cell>
        </row>
        <row r="722">
          <cell r="Q722" t="str">
            <v/>
          </cell>
          <cell r="T722" t="str">
            <v/>
          </cell>
          <cell r="W722" t="str">
            <v/>
          </cell>
          <cell r="Z722" t="str">
            <v/>
          </cell>
        </row>
        <row r="723">
          <cell r="Q723" t="str">
            <v/>
          </cell>
          <cell r="T723" t="str">
            <v/>
          </cell>
          <cell r="W723" t="str">
            <v/>
          </cell>
          <cell r="Z723" t="str">
            <v/>
          </cell>
        </row>
        <row r="724">
          <cell r="Q724" t="str">
            <v/>
          </cell>
          <cell r="T724" t="str">
            <v/>
          </cell>
          <cell r="W724" t="str">
            <v/>
          </cell>
          <cell r="Z724" t="str">
            <v/>
          </cell>
        </row>
        <row r="725">
          <cell r="Q725" t="str">
            <v/>
          </cell>
          <cell r="T725" t="str">
            <v/>
          </cell>
          <cell r="W725" t="str">
            <v/>
          </cell>
          <cell r="Z725" t="str">
            <v/>
          </cell>
        </row>
        <row r="726">
          <cell r="Q726" t="str">
            <v/>
          </cell>
          <cell r="T726" t="str">
            <v/>
          </cell>
          <cell r="W726" t="str">
            <v/>
          </cell>
          <cell r="Z726" t="str">
            <v/>
          </cell>
        </row>
        <row r="727">
          <cell r="Q727" t="str">
            <v/>
          </cell>
          <cell r="T727" t="str">
            <v/>
          </cell>
          <cell r="W727" t="str">
            <v/>
          </cell>
          <cell r="Z727" t="str">
            <v/>
          </cell>
        </row>
        <row r="728">
          <cell r="Q728" t="str">
            <v/>
          </cell>
          <cell r="T728" t="str">
            <v/>
          </cell>
          <cell r="W728" t="str">
            <v/>
          </cell>
          <cell r="Z728" t="str">
            <v/>
          </cell>
        </row>
        <row r="729">
          <cell r="Q729" t="str">
            <v/>
          </cell>
          <cell r="T729" t="str">
            <v/>
          </cell>
          <cell r="W729" t="str">
            <v/>
          </cell>
          <cell r="Z729" t="str">
            <v/>
          </cell>
        </row>
        <row r="730">
          <cell r="Q730" t="str">
            <v/>
          </cell>
          <cell r="T730" t="str">
            <v/>
          </cell>
          <cell r="W730" t="str">
            <v/>
          </cell>
          <cell r="Z730" t="str">
            <v/>
          </cell>
        </row>
        <row r="731">
          <cell r="Q731" t="str">
            <v/>
          </cell>
          <cell r="T731" t="str">
            <v/>
          </cell>
          <cell r="W731" t="str">
            <v/>
          </cell>
          <cell r="Z731" t="str">
            <v/>
          </cell>
        </row>
        <row r="732">
          <cell r="Q732" t="str">
            <v/>
          </cell>
          <cell r="T732" t="str">
            <v/>
          </cell>
          <cell r="W732" t="str">
            <v/>
          </cell>
          <cell r="Z732" t="str">
            <v/>
          </cell>
        </row>
        <row r="733">
          <cell r="Q733" t="str">
            <v/>
          </cell>
          <cell r="T733" t="str">
            <v/>
          </cell>
          <cell r="W733" t="str">
            <v/>
          </cell>
          <cell r="Z733" t="str">
            <v/>
          </cell>
        </row>
        <row r="734">
          <cell r="Q734" t="str">
            <v/>
          </cell>
          <cell r="T734" t="str">
            <v/>
          </cell>
          <cell r="W734" t="str">
            <v/>
          </cell>
          <cell r="Z734" t="str">
            <v/>
          </cell>
        </row>
        <row r="735">
          <cell r="Q735" t="str">
            <v/>
          </cell>
          <cell r="T735" t="str">
            <v/>
          </cell>
          <cell r="W735" t="str">
            <v/>
          </cell>
          <cell r="Z735" t="str">
            <v/>
          </cell>
        </row>
        <row r="736">
          <cell r="Q736" t="str">
            <v/>
          </cell>
          <cell r="T736" t="str">
            <v/>
          </cell>
          <cell r="W736" t="str">
            <v/>
          </cell>
          <cell r="Z736" t="str">
            <v/>
          </cell>
        </row>
        <row r="737">
          <cell r="Q737" t="str">
            <v/>
          </cell>
          <cell r="T737" t="str">
            <v/>
          </cell>
          <cell r="W737" t="str">
            <v/>
          </cell>
          <cell r="Z737" t="str">
            <v/>
          </cell>
        </row>
        <row r="738">
          <cell r="Q738" t="str">
            <v/>
          </cell>
          <cell r="T738" t="str">
            <v/>
          </cell>
          <cell r="W738" t="str">
            <v/>
          </cell>
          <cell r="Z738" t="str">
            <v/>
          </cell>
        </row>
        <row r="739">
          <cell r="Q739" t="str">
            <v/>
          </cell>
          <cell r="T739" t="str">
            <v/>
          </cell>
          <cell r="W739" t="str">
            <v/>
          </cell>
          <cell r="Z739" t="str">
            <v/>
          </cell>
        </row>
        <row r="740">
          <cell r="Q740" t="str">
            <v/>
          </cell>
          <cell r="T740" t="str">
            <v/>
          </cell>
          <cell r="W740" t="str">
            <v/>
          </cell>
          <cell r="Z740" t="str">
            <v/>
          </cell>
        </row>
        <row r="741">
          <cell r="Q741" t="str">
            <v/>
          </cell>
          <cell r="T741" t="str">
            <v/>
          </cell>
          <cell r="W741" t="str">
            <v/>
          </cell>
          <cell r="Z741" t="str">
            <v/>
          </cell>
        </row>
        <row r="742">
          <cell r="Q742" t="str">
            <v/>
          </cell>
          <cell r="T742" t="str">
            <v/>
          </cell>
          <cell r="W742" t="str">
            <v/>
          </cell>
          <cell r="Z742" t="str">
            <v/>
          </cell>
        </row>
        <row r="743">
          <cell r="Q743" t="str">
            <v/>
          </cell>
          <cell r="T743" t="str">
            <v/>
          </cell>
          <cell r="W743" t="str">
            <v/>
          </cell>
          <cell r="Z743" t="str">
            <v/>
          </cell>
        </row>
        <row r="744">
          <cell r="Q744" t="str">
            <v/>
          </cell>
          <cell r="T744" t="str">
            <v/>
          </cell>
          <cell r="W744" t="str">
            <v/>
          </cell>
          <cell r="Z744" t="str">
            <v/>
          </cell>
        </row>
        <row r="745">
          <cell r="Q745" t="str">
            <v/>
          </cell>
          <cell r="T745" t="str">
            <v/>
          </cell>
          <cell r="W745" t="str">
            <v/>
          </cell>
          <cell r="Z745" t="str">
            <v/>
          </cell>
        </row>
        <row r="746">
          <cell r="Q746" t="str">
            <v/>
          </cell>
          <cell r="T746" t="str">
            <v/>
          </cell>
          <cell r="W746" t="str">
            <v/>
          </cell>
          <cell r="Z746" t="str">
            <v/>
          </cell>
        </row>
        <row r="747">
          <cell r="Q747" t="str">
            <v/>
          </cell>
          <cell r="T747" t="str">
            <v/>
          </cell>
          <cell r="W747" t="str">
            <v/>
          </cell>
          <cell r="Z747" t="str">
            <v/>
          </cell>
        </row>
        <row r="748">
          <cell r="Q748" t="str">
            <v/>
          </cell>
          <cell r="T748" t="str">
            <v/>
          </cell>
          <cell r="W748" t="str">
            <v/>
          </cell>
          <cell r="Z748" t="str">
            <v/>
          </cell>
        </row>
        <row r="749">
          <cell r="Q749" t="str">
            <v/>
          </cell>
          <cell r="T749" t="str">
            <v/>
          </cell>
          <cell r="W749" t="str">
            <v/>
          </cell>
          <cell r="Z749" t="str">
            <v/>
          </cell>
        </row>
        <row r="750">
          <cell r="Q750" t="str">
            <v/>
          </cell>
          <cell r="T750" t="str">
            <v/>
          </cell>
          <cell r="W750" t="str">
            <v/>
          </cell>
          <cell r="Z750" t="str">
            <v/>
          </cell>
        </row>
        <row r="751">
          <cell r="Q751" t="str">
            <v/>
          </cell>
          <cell r="T751" t="str">
            <v/>
          </cell>
          <cell r="W751" t="str">
            <v/>
          </cell>
          <cell r="Z751" t="str">
            <v/>
          </cell>
        </row>
        <row r="752">
          <cell r="Q752" t="str">
            <v/>
          </cell>
          <cell r="T752" t="str">
            <v/>
          </cell>
          <cell r="W752" t="str">
            <v/>
          </cell>
          <cell r="Z752" t="str">
            <v/>
          </cell>
        </row>
        <row r="753">
          <cell r="Q753" t="str">
            <v/>
          </cell>
          <cell r="T753" t="str">
            <v/>
          </cell>
          <cell r="W753" t="str">
            <v/>
          </cell>
          <cell r="Z753" t="str">
            <v/>
          </cell>
        </row>
        <row r="754">
          <cell r="Q754" t="str">
            <v/>
          </cell>
          <cell r="T754" t="str">
            <v/>
          </cell>
          <cell r="W754" t="str">
            <v/>
          </cell>
          <cell r="Z754" t="str">
            <v/>
          </cell>
        </row>
        <row r="755">
          <cell r="Q755" t="str">
            <v/>
          </cell>
          <cell r="T755" t="str">
            <v/>
          </cell>
          <cell r="W755" t="str">
            <v/>
          </cell>
          <cell r="Z755" t="str">
            <v/>
          </cell>
        </row>
        <row r="756">
          <cell r="Q756" t="str">
            <v/>
          </cell>
          <cell r="T756" t="str">
            <v/>
          </cell>
          <cell r="W756" t="str">
            <v/>
          </cell>
          <cell r="Z756" t="str">
            <v/>
          </cell>
        </row>
        <row r="757">
          <cell r="Q757" t="str">
            <v/>
          </cell>
          <cell r="T757" t="str">
            <v/>
          </cell>
          <cell r="W757" t="str">
            <v/>
          </cell>
          <cell r="Z757" t="str">
            <v/>
          </cell>
        </row>
        <row r="758">
          <cell r="Q758" t="str">
            <v/>
          </cell>
          <cell r="T758" t="str">
            <v/>
          </cell>
          <cell r="W758" t="str">
            <v/>
          </cell>
          <cell r="Z758" t="str">
            <v/>
          </cell>
        </row>
        <row r="759">
          <cell r="Q759" t="str">
            <v/>
          </cell>
          <cell r="T759" t="str">
            <v/>
          </cell>
          <cell r="W759" t="str">
            <v/>
          </cell>
          <cell r="Z759" t="str">
            <v/>
          </cell>
        </row>
        <row r="760">
          <cell r="Q760" t="str">
            <v/>
          </cell>
          <cell r="T760" t="str">
            <v/>
          </cell>
          <cell r="W760" t="str">
            <v/>
          </cell>
          <cell r="Z760" t="str">
            <v/>
          </cell>
        </row>
        <row r="761">
          <cell r="Q761" t="str">
            <v/>
          </cell>
          <cell r="T761" t="str">
            <v/>
          </cell>
          <cell r="W761" t="str">
            <v/>
          </cell>
          <cell r="Z761" t="str">
            <v/>
          </cell>
        </row>
        <row r="762">
          <cell r="Q762" t="str">
            <v/>
          </cell>
          <cell r="T762" t="str">
            <v/>
          </cell>
          <cell r="W762" t="str">
            <v/>
          </cell>
          <cell r="Z762" t="str">
            <v/>
          </cell>
        </row>
        <row r="763">
          <cell r="Q763" t="str">
            <v/>
          </cell>
          <cell r="T763" t="str">
            <v/>
          </cell>
          <cell r="W763" t="str">
            <v/>
          </cell>
          <cell r="Z763" t="str">
            <v/>
          </cell>
        </row>
        <row r="764">
          <cell r="Q764" t="str">
            <v/>
          </cell>
          <cell r="T764" t="str">
            <v/>
          </cell>
          <cell r="W764" t="str">
            <v/>
          </cell>
          <cell r="Z764" t="str">
            <v/>
          </cell>
        </row>
        <row r="765">
          <cell r="Q765" t="str">
            <v/>
          </cell>
          <cell r="T765" t="str">
            <v/>
          </cell>
          <cell r="W765" t="str">
            <v/>
          </cell>
          <cell r="Z765" t="str">
            <v/>
          </cell>
        </row>
        <row r="766">
          <cell r="Q766" t="str">
            <v/>
          </cell>
          <cell r="T766" t="str">
            <v/>
          </cell>
          <cell r="W766" t="str">
            <v/>
          </cell>
          <cell r="Z766" t="str">
            <v/>
          </cell>
        </row>
        <row r="767">
          <cell r="Q767" t="str">
            <v/>
          </cell>
          <cell r="T767" t="str">
            <v/>
          </cell>
          <cell r="W767" t="str">
            <v/>
          </cell>
          <cell r="Z767" t="str">
            <v/>
          </cell>
        </row>
        <row r="768">
          <cell r="Q768" t="str">
            <v/>
          </cell>
          <cell r="T768" t="str">
            <v/>
          </cell>
          <cell r="W768" t="str">
            <v/>
          </cell>
          <cell r="Z768" t="str">
            <v/>
          </cell>
        </row>
        <row r="769">
          <cell r="Q769" t="str">
            <v/>
          </cell>
          <cell r="T769" t="str">
            <v/>
          </cell>
          <cell r="W769" t="str">
            <v/>
          </cell>
          <cell r="Z769" t="str">
            <v/>
          </cell>
        </row>
        <row r="770">
          <cell r="Q770" t="str">
            <v/>
          </cell>
          <cell r="T770" t="str">
            <v/>
          </cell>
          <cell r="W770" t="str">
            <v/>
          </cell>
          <cell r="Z770" t="str">
            <v/>
          </cell>
        </row>
        <row r="771">
          <cell r="Q771" t="str">
            <v/>
          </cell>
          <cell r="T771" t="str">
            <v/>
          </cell>
          <cell r="W771" t="str">
            <v/>
          </cell>
          <cell r="Z771" t="str">
            <v/>
          </cell>
        </row>
        <row r="772">
          <cell r="Q772" t="str">
            <v/>
          </cell>
          <cell r="T772" t="str">
            <v/>
          </cell>
          <cell r="W772" t="str">
            <v/>
          </cell>
          <cell r="Z772" t="str">
            <v/>
          </cell>
        </row>
        <row r="773">
          <cell r="Q773" t="str">
            <v/>
          </cell>
          <cell r="T773" t="str">
            <v/>
          </cell>
          <cell r="W773" t="str">
            <v/>
          </cell>
          <cell r="Z773" t="str">
            <v/>
          </cell>
        </row>
        <row r="774">
          <cell r="Q774" t="str">
            <v/>
          </cell>
          <cell r="T774" t="str">
            <v/>
          </cell>
          <cell r="W774" t="str">
            <v/>
          </cell>
          <cell r="Z774" t="str">
            <v/>
          </cell>
        </row>
        <row r="775">
          <cell r="Q775" t="str">
            <v/>
          </cell>
          <cell r="T775" t="str">
            <v/>
          </cell>
          <cell r="W775" t="str">
            <v/>
          </cell>
          <cell r="Z775" t="str">
            <v/>
          </cell>
        </row>
        <row r="776">
          <cell r="Q776" t="str">
            <v/>
          </cell>
          <cell r="T776" t="str">
            <v/>
          </cell>
          <cell r="W776" t="str">
            <v/>
          </cell>
          <cell r="Z776" t="str">
            <v/>
          </cell>
        </row>
        <row r="777">
          <cell r="Q777" t="str">
            <v/>
          </cell>
          <cell r="T777" t="str">
            <v/>
          </cell>
          <cell r="W777" t="str">
            <v/>
          </cell>
          <cell r="Z777" t="str">
            <v/>
          </cell>
        </row>
        <row r="778">
          <cell r="Q778" t="str">
            <v/>
          </cell>
          <cell r="T778" t="str">
            <v/>
          </cell>
          <cell r="W778" t="str">
            <v/>
          </cell>
          <cell r="Z778" t="str">
            <v/>
          </cell>
        </row>
        <row r="779">
          <cell r="Q779" t="str">
            <v/>
          </cell>
          <cell r="T779" t="str">
            <v/>
          </cell>
          <cell r="W779" t="str">
            <v/>
          </cell>
          <cell r="Z779" t="str">
            <v/>
          </cell>
        </row>
        <row r="780">
          <cell r="Q780" t="str">
            <v/>
          </cell>
          <cell r="T780" t="str">
            <v/>
          </cell>
          <cell r="W780" t="str">
            <v/>
          </cell>
          <cell r="Z780" t="str">
            <v/>
          </cell>
        </row>
        <row r="781">
          <cell r="Q781" t="str">
            <v/>
          </cell>
          <cell r="T781" t="str">
            <v/>
          </cell>
          <cell r="W781" t="str">
            <v/>
          </cell>
          <cell r="Z781" t="str">
            <v/>
          </cell>
        </row>
        <row r="782">
          <cell r="Q782" t="str">
            <v/>
          </cell>
          <cell r="T782" t="str">
            <v/>
          </cell>
          <cell r="W782" t="str">
            <v/>
          </cell>
          <cell r="Z782" t="str">
            <v/>
          </cell>
        </row>
        <row r="783">
          <cell r="Q783" t="str">
            <v/>
          </cell>
          <cell r="T783" t="str">
            <v/>
          </cell>
          <cell r="W783" t="str">
            <v/>
          </cell>
          <cell r="Z783" t="str">
            <v/>
          </cell>
        </row>
        <row r="784">
          <cell r="Q784" t="str">
            <v/>
          </cell>
          <cell r="T784" t="str">
            <v/>
          </cell>
          <cell r="W784" t="str">
            <v/>
          </cell>
          <cell r="Z784" t="str">
            <v/>
          </cell>
        </row>
        <row r="785">
          <cell r="Q785" t="str">
            <v/>
          </cell>
          <cell r="T785" t="str">
            <v/>
          </cell>
          <cell r="W785" t="str">
            <v/>
          </cell>
          <cell r="Z785" t="str">
            <v/>
          </cell>
        </row>
        <row r="786">
          <cell r="Q786" t="str">
            <v/>
          </cell>
          <cell r="T786" t="str">
            <v/>
          </cell>
          <cell r="W786" t="str">
            <v/>
          </cell>
          <cell r="Z786" t="str">
            <v/>
          </cell>
        </row>
        <row r="787">
          <cell r="Q787" t="str">
            <v/>
          </cell>
          <cell r="T787" t="str">
            <v/>
          </cell>
          <cell r="W787" t="str">
            <v/>
          </cell>
          <cell r="Z787" t="str">
            <v/>
          </cell>
        </row>
        <row r="788">
          <cell r="Q788" t="str">
            <v/>
          </cell>
          <cell r="T788" t="str">
            <v/>
          </cell>
          <cell r="W788" t="str">
            <v/>
          </cell>
          <cell r="Z788" t="str">
            <v/>
          </cell>
        </row>
        <row r="789">
          <cell r="Q789" t="str">
            <v/>
          </cell>
          <cell r="T789" t="str">
            <v/>
          </cell>
          <cell r="W789" t="str">
            <v/>
          </cell>
          <cell r="Z789" t="str">
            <v/>
          </cell>
        </row>
        <row r="790">
          <cell r="Q790" t="str">
            <v/>
          </cell>
          <cell r="T790" t="str">
            <v/>
          </cell>
          <cell r="W790" t="str">
            <v/>
          </cell>
          <cell r="Z790" t="str">
            <v/>
          </cell>
        </row>
        <row r="791">
          <cell r="Q791" t="str">
            <v/>
          </cell>
          <cell r="T791" t="str">
            <v/>
          </cell>
          <cell r="W791" t="str">
            <v/>
          </cell>
          <cell r="Z791" t="str">
            <v/>
          </cell>
        </row>
        <row r="792">
          <cell r="Q792" t="str">
            <v/>
          </cell>
          <cell r="T792" t="str">
            <v/>
          </cell>
          <cell r="W792" t="str">
            <v/>
          </cell>
          <cell r="Z792" t="str">
            <v/>
          </cell>
        </row>
        <row r="793">
          <cell r="Q793" t="str">
            <v/>
          </cell>
          <cell r="T793" t="str">
            <v/>
          </cell>
          <cell r="W793" t="str">
            <v/>
          </cell>
          <cell r="Z793" t="str">
            <v/>
          </cell>
        </row>
        <row r="794">
          <cell r="Q794" t="str">
            <v/>
          </cell>
          <cell r="T794" t="str">
            <v/>
          </cell>
          <cell r="W794" t="str">
            <v/>
          </cell>
          <cell r="Z794" t="str">
            <v/>
          </cell>
        </row>
        <row r="795">
          <cell r="Q795" t="str">
            <v/>
          </cell>
          <cell r="T795" t="str">
            <v/>
          </cell>
          <cell r="W795" t="str">
            <v/>
          </cell>
          <cell r="Z795" t="str">
            <v/>
          </cell>
        </row>
        <row r="796">
          <cell r="Q796" t="str">
            <v/>
          </cell>
          <cell r="T796" t="str">
            <v/>
          </cell>
          <cell r="W796" t="str">
            <v/>
          </cell>
          <cell r="Z796" t="str">
            <v/>
          </cell>
        </row>
        <row r="797">
          <cell r="Q797" t="str">
            <v/>
          </cell>
          <cell r="T797" t="str">
            <v/>
          </cell>
          <cell r="W797" t="str">
            <v/>
          </cell>
          <cell r="Z797" t="str">
            <v/>
          </cell>
        </row>
        <row r="798">
          <cell r="Q798" t="str">
            <v/>
          </cell>
          <cell r="T798" t="str">
            <v/>
          </cell>
          <cell r="W798" t="str">
            <v/>
          </cell>
          <cell r="Z798" t="str">
            <v/>
          </cell>
        </row>
        <row r="799">
          <cell r="Q799" t="str">
            <v/>
          </cell>
          <cell r="T799" t="str">
            <v/>
          </cell>
          <cell r="W799" t="str">
            <v/>
          </cell>
          <cell r="Z799" t="str">
            <v/>
          </cell>
        </row>
        <row r="800">
          <cell r="Q800" t="str">
            <v/>
          </cell>
          <cell r="T800" t="str">
            <v/>
          </cell>
          <cell r="W800" t="str">
            <v/>
          </cell>
          <cell r="Z800" t="str">
            <v/>
          </cell>
        </row>
        <row r="801">
          <cell r="Q801" t="str">
            <v/>
          </cell>
          <cell r="T801" t="str">
            <v/>
          </cell>
          <cell r="W801" t="str">
            <v/>
          </cell>
          <cell r="Z801" t="str">
            <v/>
          </cell>
        </row>
        <row r="802">
          <cell r="Q802" t="str">
            <v/>
          </cell>
          <cell r="T802" t="str">
            <v/>
          </cell>
          <cell r="W802" t="str">
            <v/>
          </cell>
          <cell r="Z802" t="str">
            <v/>
          </cell>
        </row>
        <row r="803">
          <cell r="Q803" t="str">
            <v/>
          </cell>
          <cell r="T803" t="str">
            <v/>
          </cell>
          <cell r="W803" t="str">
            <v/>
          </cell>
          <cell r="Z803" t="str">
            <v/>
          </cell>
        </row>
        <row r="804">
          <cell r="Q804" t="str">
            <v/>
          </cell>
          <cell r="T804" t="str">
            <v/>
          </cell>
          <cell r="W804" t="str">
            <v/>
          </cell>
          <cell r="Z804" t="str">
            <v/>
          </cell>
        </row>
        <row r="805">
          <cell r="Q805" t="str">
            <v/>
          </cell>
          <cell r="T805" t="str">
            <v/>
          </cell>
          <cell r="W805" t="str">
            <v/>
          </cell>
          <cell r="Z805" t="str">
            <v/>
          </cell>
        </row>
        <row r="806">
          <cell r="Q806" t="str">
            <v/>
          </cell>
          <cell r="T806" t="str">
            <v/>
          </cell>
          <cell r="W806" t="str">
            <v/>
          </cell>
          <cell r="Z806" t="str">
            <v/>
          </cell>
        </row>
        <row r="807">
          <cell r="Q807" t="str">
            <v/>
          </cell>
          <cell r="T807" t="str">
            <v/>
          </cell>
          <cell r="W807" t="str">
            <v/>
          </cell>
          <cell r="Z807" t="str">
            <v/>
          </cell>
        </row>
        <row r="808">
          <cell r="Q808" t="str">
            <v/>
          </cell>
          <cell r="T808" t="str">
            <v/>
          </cell>
          <cell r="W808" t="str">
            <v/>
          </cell>
          <cell r="Z808" t="str">
            <v/>
          </cell>
        </row>
        <row r="809">
          <cell r="Q809" t="str">
            <v/>
          </cell>
          <cell r="T809" t="str">
            <v/>
          </cell>
          <cell r="W809" t="str">
            <v/>
          </cell>
          <cell r="Z809" t="str">
            <v/>
          </cell>
        </row>
        <row r="810">
          <cell r="Q810" t="str">
            <v/>
          </cell>
          <cell r="T810" t="str">
            <v/>
          </cell>
          <cell r="W810" t="str">
            <v/>
          </cell>
          <cell r="Z810" t="str">
            <v/>
          </cell>
        </row>
        <row r="811">
          <cell r="Q811" t="str">
            <v/>
          </cell>
          <cell r="T811" t="str">
            <v/>
          </cell>
          <cell r="W811" t="str">
            <v/>
          </cell>
          <cell r="Z811" t="str">
            <v/>
          </cell>
        </row>
        <row r="812">
          <cell r="Q812" t="str">
            <v/>
          </cell>
          <cell r="T812" t="str">
            <v/>
          </cell>
          <cell r="W812" t="str">
            <v/>
          </cell>
          <cell r="Z812" t="str">
            <v/>
          </cell>
        </row>
        <row r="813">
          <cell r="Q813" t="str">
            <v/>
          </cell>
          <cell r="T813" t="str">
            <v/>
          </cell>
          <cell r="W813" t="str">
            <v/>
          </cell>
          <cell r="Z813" t="str">
            <v/>
          </cell>
        </row>
        <row r="814">
          <cell r="Q814" t="str">
            <v/>
          </cell>
          <cell r="T814" t="str">
            <v/>
          </cell>
          <cell r="W814" t="str">
            <v/>
          </cell>
          <cell r="Z814" t="str">
            <v/>
          </cell>
        </row>
        <row r="815">
          <cell r="Q815" t="str">
            <v/>
          </cell>
          <cell r="T815" t="str">
            <v/>
          </cell>
          <cell r="W815" t="str">
            <v/>
          </cell>
          <cell r="Z815" t="str">
            <v/>
          </cell>
        </row>
        <row r="816">
          <cell r="Q816" t="str">
            <v/>
          </cell>
          <cell r="T816" t="str">
            <v/>
          </cell>
          <cell r="W816" t="str">
            <v/>
          </cell>
          <cell r="Z816" t="str">
            <v/>
          </cell>
        </row>
        <row r="817">
          <cell r="Q817" t="str">
            <v/>
          </cell>
          <cell r="T817" t="str">
            <v/>
          </cell>
          <cell r="W817" t="str">
            <v/>
          </cell>
          <cell r="Z817" t="str">
            <v/>
          </cell>
        </row>
        <row r="818">
          <cell r="Q818" t="str">
            <v/>
          </cell>
          <cell r="T818" t="str">
            <v/>
          </cell>
          <cell r="W818" t="str">
            <v/>
          </cell>
          <cell r="Z818" t="str">
            <v/>
          </cell>
        </row>
        <row r="819">
          <cell r="Q819" t="str">
            <v/>
          </cell>
          <cell r="T819" t="str">
            <v/>
          </cell>
          <cell r="W819" t="str">
            <v/>
          </cell>
          <cell r="Z819" t="str">
            <v/>
          </cell>
        </row>
        <row r="820">
          <cell r="Q820" t="str">
            <v/>
          </cell>
          <cell r="T820" t="str">
            <v/>
          </cell>
          <cell r="W820" t="str">
            <v/>
          </cell>
          <cell r="Z820" t="str">
            <v/>
          </cell>
        </row>
        <row r="821">
          <cell r="Q821" t="str">
            <v/>
          </cell>
          <cell r="T821" t="str">
            <v/>
          </cell>
          <cell r="W821" t="str">
            <v/>
          </cell>
          <cell r="Z821" t="str">
            <v/>
          </cell>
        </row>
        <row r="822">
          <cell r="Q822" t="str">
            <v/>
          </cell>
          <cell r="T822" t="str">
            <v/>
          </cell>
          <cell r="W822" t="str">
            <v/>
          </cell>
          <cell r="Z822" t="str">
            <v/>
          </cell>
        </row>
        <row r="823">
          <cell r="Q823" t="str">
            <v/>
          </cell>
          <cell r="T823" t="str">
            <v/>
          </cell>
          <cell r="W823" t="str">
            <v/>
          </cell>
          <cell r="Z823" t="str">
            <v/>
          </cell>
        </row>
        <row r="824">
          <cell r="Q824" t="str">
            <v/>
          </cell>
          <cell r="T824" t="str">
            <v/>
          </cell>
          <cell r="W824" t="str">
            <v/>
          </cell>
          <cell r="Z824" t="str">
            <v/>
          </cell>
        </row>
        <row r="825">
          <cell r="Q825" t="str">
            <v/>
          </cell>
          <cell r="T825" t="str">
            <v/>
          </cell>
          <cell r="W825" t="str">
            <v/>
          </cell>
          <cell r="Z825" t="str">
            <v/>
          </cell>
        </row>
        <row r="826">
          <cell r="Q826" t="str">
            <v/>
          </cell>
          <cell r="T826" t="str">
            <v/>
          </cell>
          <cell r="W826" t="str">
            <v/>
          </cell>
          <cell r="Z826" t="str">
            <v/>
          </cell>
        </row>
        <row r="827">
          <cell r="Q827" t="str">
            <v/>
          </cell>
          <cell r="T827" t="str">
            <v/>
          </cell>
          <cell r="W827" t="str">
            <v/>
          </cell>
          <cell r="Z827" t="str">
            <v/>
          </cell>
        </row>
        <row r="828">
          <cell r="Q828" t="str">
            <v/>
          </cell>
          <cell r="T828" t="str">
            <v/>
          </cell>
          <cell r="W828" t="str">
            <v/>
          </cell>
          <cell r="Z828" t="str">
            <v/>
          </cell>
        </row>
        <row r="829">
          <cell r="Q829" t="str">
            <v/>
          </cell>
          <cell r="T829" t="str">
            <v/>
          </cell>
          <cell r="W829" t="str">
            <v/>
          </cell>
          <cell r="Z829" t="str">
            <v/>
          </cell>
        </row>
        <row r="830">
          <cell r="Q830" t="str">
            <v/>
          </cell>
          <cell r="T830" t="str">
            <v/>
          </cell>
          <cell r="W830" t="str">
            <v/>
          </cell>
          <cell r="Z830" t="str">
            <v/>
          </cell>
        </row>
        <row r="831">
          <cell r="Q831" t="str">
            <v/>
          </cell>
          <cell r="T831" t="str">
            <v/>
          </cell>
          <cell r="W831" t="str">
            <v/>
          </cell>
          <cell r="Z831" t="str">
            <v/>
          </cell>
        </row>
        <row r="832">
          <cell r="Q832" t="str">
            <v/>
          </cell>
          <cell r="T832" t="str">
            <v/>
          </cell>
          <cell r="W832" t="str">
            <v/>
          </cell>
          <cell r="Z832" t="str">
            <v/>
          </cell>
        </row>
        <row r="833">
          <cell r="Q833" t="str">
            <v/>
          </cell>
          <cell r="T833" t="str">
            <v/>
          </cell>
          <cell r="W833" t="str">
            <v/>
          </cell>
          <cell r="Z833" t="str">
            <v/>
          </cell>
        </row>
        <row r="834">
          <cell r="Q834" t="str">
            <v/>
          </cell>
          <cell r="T834" t="str">
            <v/>
          </cell>
          <cell r="W834" t="str">
            <v/>
          </cell>
          <cell r="Z834" t="str">
            <v/>
          </cell>
        </row>
        <row r="835">
          <cell r="Q835" t="str">
            <v/>
          </cell>
          <cell r="T835" t="str">
            <v/>
          </cell>
          <cell r="W835" t="str">
            <v/>
          </cell>
          <cell r="Z835" t="str">
            <v/>
          </cell>
        </row>
        <row r="836">
          <cell r="Q836" t="str">
            <v/>
          </cell>
          <cell r="T836" t="str">
            <v/>
          </cell>
          <cell r="W836" t="str">
            <v/>
          </cell>
          <cell r="Z836" t="str">
            <v/>
          </cell>
        </row>
        <row r="837">
          <cell r="Q837" t="str">
            <v/>
          </cell>
          <cell r="T837" t="str">
            <v/>
          </cell>
          <cell r="W837" t="str">
            <v/>
          </cell>
          <cell r="Z837" t="str">
            <v/>
          </cell>
        </row>
        <row r="838">
          <cell r="Q838" t="str">
            <v/>
          </cell>
          <cell r="T838" t="str">
            <v/>
          </cell>
          <cell r="W838" t="str">
            <v/>
          </cell>
          <cell r="Z838" t="str">
            <v/>
          </cell>
        </row>
        <row r="839">
          <cell r="Q839" t="str">
            <v/>
          </cell>
          <cell r="T839" t="str">
            <v/>
          </cell>
          <cell r="W839" t="str">
            <v/>
          </cell>
          <cell r="Z839" t="str">
            <v/>
          </cell>
        </row>
        <row r="840">
          <cell r="Q840" t="str">
            <v/>
          </cell>
          <cell r="T840" t="str">
            <v/>
          </cell>
          <cell r="W840" t="str">
            <v/>
          </cell>
          <cell r="Z840" t="str">
            <v/>
          </cell>
        </row>
        <row r="841">
          <cell r="Q841" t="str">
            <v/>
          </cell>
          <cell r="T841" t="str">
            <v/>
          </cell>
          <cell r="W841" t="str">
            <v/>
          </cell>
          <cell r="Z841" t="str">
            <v/>
          </cell>
        </row>
        <row r="842">
          <cell r="Q842" t="str">
            <v/>
          </cell>
          <cell r="T842" t="str">
            <v/>
          </cell>
          <cell r="W842" t="str">
            <v/>
          </cell>
          <cell r="Z842" t="str">
            <v/>
          </cell>
        </row>
        <row r="843">
          <cell r="Q843" t="str">
            <v/>
          </cell>
          <cell r="T843" t="str">
            <v/>
          </cell>
          <cell r="W843" t="str">
            <v/>
          </cell>
          <cell r="Z843" t="str">
            <v/>
          </cell>
        </row>
        <row r="844">
          <cell r="Q844" t="str">
            <v/>
          </cell>
          <cell r="T844" t="str">
            <v/>
          </cell>
          <cell r="W844" t="str">
            <v/>
          </cell>
          <cell r="Z844" t="str">
            <v/>
          </cell>
        </row>
        <row r="845">
          <cell r="Q845" t="str">
            <v/>
          </cell>
          <cell r="T845" t="str">
            <v/>
          </cell>
          <cell r="W845" t="str">
            <v/>
          </cell>
          <cell r="Z845" t="str">
            <v/>
          </cell>
        </row>
        <row r="846">
          <cell r="Q846" t="str">
            <v/>
          </cell>
          <cell r="T846" t="str">
            <v/>
          </cell>
          <cell r="W846" t="str">
            <v/>
          </cell>
          <cell r="Z846" t="str">
            <v/>
          </cell>
        </row>
        <row r="847">
          <cell r="Q847" t="str">
            <v/>
          </cell>
          <cell r="T847" t="str">
            <v/>
          </cell>
          <cell r="W847" t="str">
            <v/>
          </cell>
          <cell r="Z847" t="str">
            <v/>
          </cell>
        </row>
        <row r="848">
          <cell r="Q848" t="str">
            <v/>
          </cell>
          <cell r="T848" t="str">
            <v/>
          </cell>
          <cell r="W848" t="str">
            <v/>
          </cell>
          <cell r="Z848" t="str">
            <v/>
          </cell>
        </row>
        <row r="849">
          <cell r="Q849" t="str">
            <v/>
          </cell>
          <cell r="T849" t="str">
            <v/>
          </cell>
          <cell r="W849" t="str">
            <v/>
          </cell>
          <cell r="Z849" t="str">
            <v/>
          </cell>
        </row>
        <row r="850">
          <cell r="Q850" t="str">
            <v/>
          </cell>
          <cell r="T850" t="str">
            <v/>
          </cell>
          <cell r="W850" t="str">
            <v/>
          </cell>
          <cell r="Z850" t="str">
            <v/>
          </cell>
        </row>
        <row r="851">
          <cell r="Q851" t="str">
            <v/>
          </cell>
          <cell r="T851" t="str">
            <v/>
          </cell>
          <cell r="W851" t="str">
            <v/>
          </cell>
          <cell r="Z851" t="str">
            <v/>
          </cell>
        </row>
        <row r="852">
          <cell r="Q852" t="str">
            <v/>
          </cell>
          <cell r="T852" t="str">
            <v/>
          </cell>
          <cell r="W852" t="str">
            <v/>
          </cell>
          <cell r="Z852" t="str">
            <v/>
          </cell>
        </row>
        <row r="853">
          <cell r="Q853" t="str">
            <v/>
          </cell>
          <cell r="T853" t="str">
            <v/>
          </cell>
          <cell r="W853" t="str">
            <v/>
          </cell>
          <cell r="Z853" t="str">
            <v/>
          </cell>
        </row>
        <row r="854">
          <cell r="Q854" t="str">
            <v/>
          </cell>
          <cell r="T854" t="str">
            <v/>
          </cell>
          <cell r="W854" t="str">
            <v/>
          </cell>
          <cell r="Z854" t="str">
            <v/>
          </cell>
        </row>
        <row r="855">
          <cell r="Q855" t="str">
            <v/>
          </cell>
          <cell r="T855" t="str">
            <v/>
          </cell>
          <cell r="W855" t="str">
            <v/>
          </cell>
          <cell r="Z855" t="str">
            <v/>
          </cell>
        </row>
        <row r="856">
          <cell r="Q856" t="str">
            <v/>
          </cell>
          <cell r="T856" t="str">
            <v/>
          </cell>
          <cell r="W856" t="str">
            <v/>
          </cell>
          <cell r="Z856" t="str">
            <v/>
          </cell>
        </row>
        <row r="857">
          <cell r="Q857" t="str">
            <v/>
          </cell>
          <cell r="T857" t="str">
            <v/>
          </cell>
          <cell r="W857" t="str">
            <v/>
          </cell>
          <cell r="Z857" t="str">
            <v/>
          </cell>
        </row>
        <row r="858">
          <cell r="Q858" t="str">
            <v/>
          </cell>
          <cell r="T858" t="str">
            <v/>
          </cell>
          <cell r="W858" t="str">
            <v/>
          </cell>
          <cell r="Z858" t="str">
            <v/>
          </cell>
        </row>
        <row r="859">
          <cell r="Q859" t="str">
            <v/>
          </cell>
          <cell r="T859" t="str">
            <v/>
          </cell>
          <cell r="W859" t="str">
            <v/>
          </cell>
          <cell r="Z859" t="str">
            <v/>
          </cell>
        </row>
        <row r="860">
          <cell r="Q860" t="str">
            <v/>
          </cell>
          <cell r="T860" t="str">
            <v/>
          </cell>
          <cell r="W860" t="str">
            <v/>
          </cell>
          <cell r="Z860" t="str">
            <v/>
          </cell>
        </row>
        <row r="861">
          <cell r="Q861" t="str">
            <v/>
          </cell>
          <cell r="T861" t="str">
            <v/>
          </cell>
          <cell r="W861" t="str">
            <v/>
          </cell>
          <cell r="Z861" t="str">
            <v/>
          </cell>
        </row>
        <row r="862">
          <cell r="Q862" t="str">
            <v/>
          </cell>
          <cell r="T862" t="str">
            <v/>
          </cell>
          <cell r="W862" t="str">
            <v/>
          </cell>
          <cell r="Z862" t="str">
            <v/>
          </cell>
        </row>
        <row r="863">
          <cell r="Q863" t="str">
            <v/>
          </cell>
          <cell r="T863" t="str">
            <v/>
          </cell>
          <cell r="W863" t="str">
            <v/>
          </cell>
          <cell r="Z863" t="str">
            <v/>
          </cell>
        </row>
        <row r="864">
          <cell r="Q864" t="str">
            <v/>
          </cell>
          <cell r="T864" t="str">
            <v/>
          </cell>
          <cell r="W864" t="str">
            <v/>
          </cell>
          <cell r="Z864" t="str">
            <v/>
          </cell>
        </row>
        <row r="865">
          <cell r="Q865" t="str">
            <v/>
          </cell>
          <cell r="T865" t="str">
            <v/>
          </cell>
          <cell r="W865" t="str">
            <v/>
          </cell>
          <cell r="Z865" t="str">
            <v/>
          </cell>
        </row>
        <row r="866">
          <cell r="Q866" t="str">
            <v/>
          </cell>
          <cell r="T866" t="str">
            <v/>
          </cell>
          <cell r="W866" t="str">
            <v/>
          </cell>
          <cell r="Z866" t="str">
            <v/>
          </cell>
        </row>
        <row r="867">
          <cell r="Q867" t="str">
            <v/>
          </cell>
          <cell r="T867" t="str">
            <v/>
          </cell>
          <cell r="W867" t="str">
            <v/>
          </cell>
          <cell r="Z867" t="str">
            <v/>
          </cell>
        </row>
        <row r="868">
          <cell r="Q868" t="str">
            <v/>
          </cell>
          <cell r="T868" t="str">
            <v/>
          </cell>
          <cell r="W868" t="str">
            <v/>
          </cell>
          <cell r="Z868" t="str">
            <v/>
          </cell>
        </row>
        <row r="869">
          <cell r="Q869" t="str">
            <v/>
          </cell>
          <cell r="T869" t="str">
            <v/>
          </cell>
          <cell r="W869" t="str">
            <v/>
          </cell>
          <cell r="Z869" t="str">
            <v/>
          </cell>
        </row>
        <row r="870">
          <cell r="Q870" t="str">
            <v/>
          </cell>
          <cell r="T870" t="str">
            <v/>
          </cell>
          <cell r="W870" t="str">
            <v/>
          </cell>
          <cell r="Z870" t="str">
            <v/>
          </cell>
        </row>
        <row r="871">
          <cell r="Q871" t="str">
            <v/>
          </cell>
          <cell r="T871" t="str">
            <v/>
          </cell>
          <cell r="W871" t="str">
            <v/>
          </cell>
          <cell r="Z871" t="str">
            <v/>
          </cell>
        </row>
        <row r="872">
          <cell r="Q872" t="str">
            <v/>
          </cell>
          <cell r="T872" t="str">
            <v/>
          </cell>
          <cell r="W872" t="str">
            <v/>
          </cell>
          <cell r="Z872" t="str">
            <v/>
          </cell>
        </row>
        <row r="873">
          <cell r="Q873" t="str">
            <v/>
          </cell>
          <cell r="T873" t="str">
            <v/>
          </cell>
          <cell r="W873" t="str">
            <v/>
          </cell>
          <cell r="Z873" t="str">
            <v/>
          </cell>
        </row>
        <row r="874">
          <cell r="Q874" t="str">
            <v/>
          </cell>
          <cell r="T874" t="str">
            <v/>
          </cell>
          <cell r="W874" t="str">
            <v/>
          </cell>
          <cell r="Z874" t="str">
            <v/>
          </cell>
        </row>
        <row r="875">
          <cell r="Q875" t="str">
            <v/>
          </cell>
          <cell r="T875" t="str">
            <v/>
          </cell>
          <cell r="W875" t="str">
            <v/>
          </cell>
          <cell r="Z875" t="str">
            <v/>
          </cell>
        </row>
        <row r="876">
          <cell r="Q876" t="str">
            <v/>
          </cell>
          <cell r="T876" t="str">
            <v/>
          </cell>
          <cell r="W876" t="str">
            <v/>
          </cell>
          <cell r="Z876" t="str">
            <v/>
          </cell>
        </row>
        <row r="877">
          <cell r="Q877" t="str">
            <v/>
          </cell>
          <cell r="T877" t="str">
            <v/>
          </cell>
          <cell r="W877" t="str">
            <v/>
          </cell>
          <cell r="Z877" t="str">
            <v/>
          </cell>
        </row>
        <row r="878">
          <cell r="Q878" t="str">
            <v/>
          </cell>
          <cell r="T878" t="str">
            <v/>
          </cell>
          <cell r="W878" t="str">
            <v/>
          </cell>
          <cell r="Z878" t="str">
            <v/>
          </cell>
        </row>
        <row r="879">
          <cell r="Q879" t="str">
            <v/>
          </cell>
          <cell r="T879" t="str">
            <v/>
          </cell>
          <cell r="W879" t="str">
            <v/>
          </cell>
          <cell r="Z879" t="str">
            <v/>
          </cell>
        </row>
        <row r="880">
          <cell r="Q880" t="str">
            <v/>
          </cell>
          <cell r="T880" t="str">
            <v/>
          </cell>
          <cell r="W880" t="str">
            <v/>
          </cell>
          <cell r="Z880" t="str">
            <v/>
          </cell>
        </row>
        <row r="881">
          <cell r="Q881" t="str">
            <v/>
          </cell>
          <cell r="T881" t="str">
            <v/>
          </cell>
          <cell r="W881" t="str">
            <v/>
          </cell>
          <cell r="Z881" t="str">
            <v/>
          </cell>
        </row>
        <row r="882">
          <cell r="Q882" t="str">
            <v/>
          </cell>
          <cell r="T882" t="str">
            <v/>
          </cell>
          <cell r="W882" t="str">
            <v/>
          </cell>
          <cell r="Z882" t="str">
            <v/>
          </cell>
        </row>
        <row r="883">
          <cell r="Q883" t="str">
            <v/>
          </cell>
          <cell r="T883" t="str">
            <v/>
          </cell>
          <cell r="W883" t="str">
            <v/>
          </cell>
          <cell r="Z883" t="str">
            <v/>
          </cell>
        </row>
        <row r="884">
          <cell r="Q884" t="str">
            <v/>
          </cell>
          <cell r="T884" t="str">
            <v/>
          </cell>
          <cell r="W884" t="str">
            <v/>
          </cell>
          <cell r="Z884" t="str">
            <v/>
          </cell>
        </row>
        <row r="885">
          <cell r="Q885" t="str">
            <v/>
          </cell>
          <cell r="T885" t="str">
            <v/>
          </cell>
          <cell r="W885" t="str">
            <v/>
          </cell>
          <cell r="Z885" t="str">
            <v/>
          </cell>
        </row>
        <row r="886">
          <cell r="Q886" t="str">
            <v/>
          </cell>
          <cell r="T886" t="str">
            <v/>
          </cell>
          <cell r="W886" t="str">
            <v/>
          </cell>
          <cell r="Z886" t="str">
            <v/>
          </cell>
        </row>
        <row r="887">
          <cell r="Q887" t="str">
            <v/>
          </cell>
          <cell r="T887" t="str">
            <v/>
          </cell>
          <cell r="W887" t="str">
            <v/>
          </cell>
          <cell r="Z887" t="str">
            <v/>
          </cell>
        </row>
        <row r="888">
          <cell r="Q888" t="str">
            <v/>
          </cell>
          <cell r="T888" t="str">
            <v/>
          </cell>
          <cell r="W888" t="str">
            <v/>
          </cell>
          <cell r="Z888" t="str">
            <v/>
          </cell>
        </row>
        <row r="889">
          <cell r="Q889" t="str">
            <v/>
          </cell>
          <cell r="T889" t="str">
            <v/>
          </cell>
          <cell r="W889" t="str">
            <v/>
          </cell>
          <cell r="Z889" t="str">
            <v/>
          </cell>
        </row>
        <row r="890">
          <cell r="Q890" t="str">
            <v/>
          </cell>
          <cell r="T890" t="str">
            <v/>
          </cell>
          <cell r="W890" t="str">
            <v/>
          </cell>
          <cell r="Z890" t="str">
            <v/>
          </cell>
        </row>
        <row r="891">
          <cell r="Q891" t="str">
            <v/>
          </cell>
          <cell r="T891" t="str">
            <v/>
          </cell>
          <cell r="W891" t="str">
            <v/>
          </cell>
          <cell r="Z891" t="str">
            <v/>
          </cell>
        </row>
        <row r="892">
          <cell r="Q892" t="str">
            <v/>
          </cell>
          <cell r="T892" t="str">
            <v/>
          </cell>
          <cell r="W892" t="str">
            <v/>
          </cell>
          <cell r="Z892" t="str">
            <v/>
          </cell>
        </row>
        <row r="893">
          <cell r="Q893" t="str">
            <v/>
          </cell>
          <cell r="T893" t="str">
            <v/>
          </cell>
          <cell r="W893" t="str">
            <v/>
          </cell>
          <cell r="Z893" t="str">
            <v/>
          </cell>
        </row>
        <row r="894">
          <cell r="Q894" t="str">
            <v/>
          </cell>
          <cell r="T894" t="str">
            <v/>
          </cell>
          <cell r="W894" t="str">
            <v/>
          </cell>
          <cell r="Z894" t="str">
            <v/>
          </cell>
        </row>
        <row r="895">
          <cell r="Q895" t="str">
            <v/>
          </cell>
          <cell r="T895" t="str">
            <v/>
          </cell>
          <cell r="W895" t="str">
            <v/>
          </cell>
          <cell r="Z895" t="str">
            <v/>
          </cell>
        </row>
        <row r="896">
          <cell r="Q896" t="str">
            <v/>
          </cell>
          <cell r="T896" t="str">
            <v/>
          </cell>
          <cell r="W896" t="str">
            <v/>
          </cell>
          <cell r="Z896" t="str">
            <v/>
          </cell>
        </row>
        <row r="897">
          <cell r="Q897" t="str">
            <v/>
          </cell>
          <cell r="T897" t="str">
            <v/>
          </cell>
          <cell r="W897" t="str">
            <v/>
          </cell>
          <cell r="Z897" t="str">
            <v/>
          </cell>
        </row>
        <row r="898">
          <cell r="Q898" t="str">
            <v/>
          </cell>
          <cell r="T898" t="str">
            <v/>
          </cell>
          <cell r="W898" t="str">
            <v/>
          </cell>
          <cell r="Z898" t="str">
            <v/>
          </cell>
        </row>
        <row r="899">
          <cell r="Q899" t="str">
            <v/>
          </cell>
          <cell r="T899" t="str">
            <v/>
          </cell>
          <cell r="W899" t="str">
            <v/>
          </cell>
          <cell r="Z899" t="str">
            <v/>
          </cell>
        </row>
        <row r="900">
          <cell r="Q900" t="str">
            <v/>
          </cell>
          <cell r="T900" t="str">
            <v/>
          </cell>
          <cell r="W900" t="str">
            <v/>
          </cell>
          <cell r="Z900" t="str">
            <v/>
          </cell>
        </row>
        <row r="901">
          <cell r="Q901" t="str">
            <v/>
          </cell>
          <cell r="T901" t="str">
            <v/>
          </cell>
          <cell r="W901" t="str">
            <v/>
          </cell>
          <cell r="Z901" t="str">
            <v/>
          </cell>
        </row>
        <row r="902">
          <cell r="Q902" t="str">
            <v/>
          </cell>
          <cell r="T902" t="str">
            <v/>
          </cell>
          <cell r="W902" t="str">
            <v/>
          </cell>
          <cell r="Z902" t="str">
            <v/>
          </cell>
        </row>
        <row r="903">
          <cell r="Q903" t="str">
            <v/>
          </cell>
          <cell r="T903" t="str">
            <v/>
          </cell>
          <cell r="W903" t="str">
            <v/>
          </cell>
          <cell r="Z903" t="str">
            <v/>
          </cell>
        </row>
        <row r="904">
          <cell r="Q904" t="str">
            <v/>
          </cell>
          <cell r="T904" t="str">
            <v/>
          </cell>
          <cell r="W904" t="str">
            <v/>
          </cell>
          <cell r="Z904" t="str">
            <v/>
          </cell>
        </row>
        <row r="905">
          <cell r="Q905" t="str">
            <v/>
          </cell>
          <cell r="T905" t="str">
            <v/>
          </cell>
          <cell r="W905" t="str">
            <v/>
          </cell>
          <cell r="Z905" t="str">
            <v/>
          </cell>
        </row>
        <row r="906">
          <cell r="Q906" t="str">
            <v/>
          </cell>
          <cell r="T906" t="str">
            <v/>
          </cell>
          <cell r="W906" t="str">
            <v/>
          </cell>
          <cell r="Z906" t="str">
            <v/>
          </cell>
        </row>
        <row r="907">
          <cell r="Q907" t="str">
            <v/>
          </cell>
          <cell r="T907" t="str">
            <v/>
          </cell>
          <cell r="W907" t="str">
            <v/>
          </cell>
          <cell r="Z907" t="str">
            <v/>
          </cell>
        </row>
        <row r="908">
          <cell r="Q908" t="str">
            <v/>
          </cell>
          <cell r="T908" t="str">
            <v/>
          </cell>
          <cell r="W908" t="str">
            <v/>
          </cell>
          <cell r="Z908" t="str">
            <v/>
          </cell>
        </row>
        <row r="909">
          <cell r="Q909" t="str">
            <v/>
          </cell>
          <cell r="T909" t="str">
            <v/>
          </cell>
          <cell r="W909" t="str">
            <v/>
          </cell>
          <cell r="Z909" t="str">
            <v/>
          </cell>
        </row>
        <row r="910">
          <cell r="Q910" t="str">
            <v/>
          </cell>
          <cell r="T910" t="str">
            <v/>
          </cell>
          <cell r="W910" t="str">
            <v/>
          </cell>
          <cell r="Z910" t="str">
            <v/>
          </cell>
        </row>
        <row r="911">
          <cell r="Q911" t="str">
            <v/>
          </cell>
          <cell r="T911" t="str">
            <v/>
          </cell>
          <cell r="W911" t="str">
            <v/>
          </cell>
          <cell r="Z911" t="str">
            <v/>
          </cell>
        </row>
        <row r="912">
          <cell r="Q912" t="str">
            <v/>
          </cell>
          <cell r="T912" t="str">
            <v/>
          </cell>
          <cell r="W912" t="str">
            <v/>
          </cell>
          <cell r="Z912" t="str">
            <v/>
          </cell>
        </row>
        <row r="913">
          <cell r="Q913" t="str">
            <v/>
          </cell>
          <cell r="T913" t="str">
            <v/>
          </cell>
          <cell r="W913" t="str">
            <v/>
          </cell>
          <cell r="Z913" t="str">
            <v/>
          </cell>
        </row>
        <row r="914">
          <cell r="Q914" t="str">
            <v/>
          </cell>
          <cell r="T914" t="str">
            <v/>
          </cell>
          <cell r="W914" t="str">
            <v/>
          </cell>
          <cell r="Z914" t="str">
            <v/>
          </cell>
        </row>
        <row r="915">
          <cell r="Q915" t="str">
            <v/>
          </cell>
          <cell r="T915" t="str">
            <v/>
          </cell>
          <cell r="W915" t="str">
            <v/>
          </cell>
          <cell r="Z915" t="str">
            <v/>
          </cell>
        </row>
        <row r="916">
          <cell r="Q916" t="str">
            <v/>
          </cell>
          <cell r="T916" t="str">
            <v/>
          </cell>
          <cell r="W916" t="str">
            <v/>
          </cell>
          <cell r="Z916" t="str">
            <v/>
          </cell>
        </row>
        <row r="917">
          <cell r="Q917" t="str">
            <v/>
          </cell>
          <cell r="T917" t="str">
            <v/>
          </cell>
          <cell r="W917" t="str">
            <v/>
          </cell>
          <cell r="Z917" t="str">
            <v/>
          </cell>
        </row>
        <row r="918">
          <cell r="Q918" t="str">
            <v/>
          </cell>
          <cell r="T918" t="str">
            <v/>
          </cell>
          <cell r="W918" t="str">
            <v/>
          </cell>
          <cell r="Z918" t="str">
            <v/>
          </cell>
        </row>
        <row r="919">
          <cell r="Q919" t="str">
            <v/>
          </cell>
          <cell r="T919" t="str">
            <v/>
          </cell>
          <cell r="W919" t="str">
            <v/>
          </cell>
          <cell r="Z919" t="str">
            <v/>
          </cell>
        </row>
        <row r="920">
          <cell r="Q920" t="str">
            <v/>
          </cell>
          <cell r="T920" t="str">
            <v/>
          </cell>
          <cell r="W920" t="str">
            <v/>
          </cell>
          <cell r="Z920" t="str">
            <v/>
          </cell>
        </row>
        <row r="921">
          <cell r="Q921" t="str">
            <v/>
          </cell>
          <cell r="T921" t="str">
            <v/>
          </cell>
          <cell r="W921" t="str">
            <v/>
          </cell>
          <cell r="Z921" t="str">
            <v/>
          </cell>
        </row>
        <row r="922">
          <cell r="Q922" t="str">
            <v/>
          </cell>
          <cell r="T922" t="str">
            <v/>
          </cell>
          <cell r="W922" t="str">
            <v/>
          </cell>
          <cell r="Z922" t="str">
            <v/>
          </cell>
        </row>
        <row r="923">
          <cell r="Q923" t="str">
            <v/>
          </cell>
          <cell r="T923" t="str">
            <v/>
          </cell>
          <cell r="W923" t="str">
            <v/>
          </cell>
          <cell r="Z923" t="str">
            <v/>
          </cell>
        </row>
        <row r="924">
          <cell r="Q924" t="str">
            <v/>
          </cell>
          <cell r="T924" t="str">
            <v/>
          </cell>
          <cell r="W924" t="str">
            <v/>
          </cell>
          <cell r="Z924" t="str">
            <v/>
          </cell>
        </row>
        <row r="925">
          <cell r="Q925" t="str">
            <v/>
          </cell>
          <cell r="T925" t="str">
            <v/>
          </cell>
          <cell r="W925" t="str">
            <v/>
          </cell>
          <cell r="Z925" t="str">
            <v/>
          </cell>
        </row>
        <row r="926">
          <cell r="Q926" t="str">
            <v/>
          </cell>
          <cell r="T926" t="str">
            <v/>
          </cell>
          <cell r="W926" t="str">
            <v/>
          </cell>
          <cell r="Z926" t="str">
            <v/>
          </cell>
        </row>
        <row r="927">
          <cell r="Q927" t="str">
            <v/>
          </cell>
          <cell r="T927" t="str">
            <v/>
          </cell>
          <cell r="W927" t="str">
            <v/>
          </cell>
          <cell r="Z927" t="str">
            <v/>
          </cell>
        </row>
        <row r="928">
          <cell r="Q928" t="str">
            <v/>
          </cell>
          <cell r="T928" t="str">
            <v/>
          </cell>
          <cell r="W928" t="str">
            <v/>
          </cell>
          <cell r="Z928" t="str">
            <v/>
          </cell>
        </row>
        <row r="929">
          <cell r="Q929" t="str">
            <v/>
          </cell>
          <cell r="T929" t="str">
            <v/>
          </cell>
          <cell r="W929" t="str">
            <v/>
          </cell>
          <cell r="Z929" t="str">
            <v/>
          </cell>
        </row>
        <row r="930">
          <cell r="Q930" t="str">
            <v/>
          </cell>
          <cell r="T930" t="str">
            <v/>
          </cell>
          <cell r="W930" t="str">
            <v/>
          </cell>
          <cell r="Z930" t="str">
            <v/>
          </cell>
        </row>
        <row r="931">
          <cell r="Q931" t="str">
            <v/>
          </cell>
          <cell r="T931" t="str">
            <v/>
          </cell>
          <cell r="W931" t="str">
            <v/>
          </cell>
          <cell r="Z931" t="str">
            <v/>
          </cell>
        </row>
        <row r="932">
          <cell r="Q932" t="str">
            <v/>
          </cell>
          <cell r="T932" t="str">
            <v/>
          </cell>
          <cell r="W932" t="str">
            <v/>
          </cell>
          <cell r="Z932" t="str">
            <v/>
          </cell>
        </row>
        <row r="933">
          <cell r="Q933" t="str">
            <v/>
          </cell>
          <cell r="T933" t="str">
            <v/>
          </cell>
          <cell r="W933" t="str">
            <v/>
          </cell>
          <cell r="Z933" t="str">
            <v/>
          </cell>
        </row>
        <row r="934">
          <cell r="Q934" t="str">
            <v/>
          </cell>
          <cell r="T934" t="str">
            <v/>
          </cell>
          <cell r="W934" t="str">
            <v/>
          </cell>
          <cell r="Z934" t="str">
            <v/>
          </cell>
        </row>
        <row r="935">
          <cell r="Q935" t="str">
            <v/>
          </cell>
          <cell r="T935" t="str">
            <v/>
          </cell>
          <cell r="W935" t="str">
            <v/>
          </cell>
          <cell r="Z935" t="str">
            <v/>
          </cell>
        </row>
        <row r="936">
          <cell r="Q936" t="str">
            <v/>
          </cell>
          <cell r="T936" t="str">
            <v/>
          </cell>
          <cell r="W936" t="str">
            <v/>
          </cell>
          <cell r="Z936" t="str">
            <v/>
          </cell>
        </row>
        <row r="937">
          <cell r="Q937" t="str">
            <v/>
          </cell>
          <cell r="T937" t="str">
            <v/>
          </cell>
          <cell r="W937" t="str">
            <v/>
          </cell>
          <cell r="Z937" t="str">
            <v/>
          </cell>
        </row>
        <row r="938">
          <cell r="Q938" t="str">
            <v/>
          </cell>
          <cell r="T938" t="str">
            <v/>
          </cell>
          <cell r="W938" t="str">
            <v/>
          </cell>
          <cell r="Z938" t="str">
            <v/>
          </cell>
        </row>
        <row r="939">
          <cell r="Q939" t="str">
            <v/>
          </cell>
          <cell r="T939" t="str">
            <v/>
          </cell>
          <cell r="W939" t="str">
            <v/>
          </cell>
          <cell r="Z939" t="str">
            <v/>
          </cell>
        </row>
        <row r="940">
          <cell r="Q940" t="str">
            <v/>
          </cell>
          <cell r="T940" t="str">
            <v/>
          </cell>
          <cell r="W940" t="str">
            <v/>
          </cell>
          <cell r="Z940" t="str">
            <v/>
          </cell>
        </row>
        <row r="941">
          <cell r="Q941" t="str">
            <v/>
          </cell>
          <cell r="T941" t="str">
            <v/>
          </cell>
          <cell r="W941" t="str">
            <v/>
          </cell>
          <cell r="Z941" t="str">
            <v/>
          </cell>
        </row>
        <row r="942">
          <cell r="Q942" t="str">
            <v/>
          </cell>
          <cell r="T942" t="str">
            <v/>
          </cell>
          <cell r="W942" t="str">
            <v/>
          </cell>
          <cell r="Z942" t="str">
            <v/>
          </cell>
        </row>
        <row r="943">
          <cell r="Q943" t="str">
            <v/>
          </cell>
          <cell r="T943" t="str">
            <v/>
          </cell>
          <cell r="W943" t="str">
            <v/>
          </cell>
          <cell r="Z943" t="str">
            <v/>
          </cell>
        </row>
        <row r="944">
          <cell r="Q944" t="str">
            <v/>
          </cell>
          <cell r="T944" t="str">
            <v/>
          </cell>
          <cell r="W944" t="str">
            <v/>
          </cell>
          <cell r="Z944" t="str">
            <v/>
          </cell>
        </row>
        <row r="945">
          <cell r="Q945" t="str">
            <v/>
          </cell>
          <cell r="T945" t="str">
            <v/>
          </cell>
          <cell r="W945" t="str">
            <v/>
          </cell>
          <cell r="Z945" t="str">
            <v/>
          </cell>
        </row>
        <row r="946">
          <cell r="Q946" t="str">
            <v/>
          </cell>
          <cell r="T946" t="str">
            <v/>
          </cell>
          <cell r="W946" t="str">
            <v/>
          </cell>
          <cell r="Z946" t="str">
            <v/>
          </cell>
        </row>
        <row r="947">
          <cell r="Q947" t="str">
            <v/>
          </cell>
          <cell r="T947" t="str">
            <v/>
          </cell>
          <cell r="W947" t="str">
            <v/>
          </cell>
          <cell r="Z947" t="str">
            <v/>
          </cell>
        </row>
        <row r="948">
          <cell r="Q948" t="str">
            <v/>
          </cell>
          <cell r="T948" t="str">
            <v/>
          </cell>
          <cell r="W948" t="str">
            <v/>
          </cell>
          <cell r="Z948" t="str">
            <v/>
          </cell>
        </row>
        <row r="949">
          <cell r="Q949" t="str">
            <v/>
          </cell>
          <cell r="T949" t="str">
            <v/>
          </cell>
          <cell r="W949" t="str">
            <v/>
          </cell>
          <cell r="Z949" t="str">
            <v/>
          </cell>
        </row>
        <row r="950">
          <cell r="Q950" t="str">
            <v/>
          </cell>
          <cell r="T950" t="str">
            <v/>
          </cell>
          <cell r="W950" t="str">
            <v/>
          </cell>
          <cell r="Z950" t="str">
            <v/>
          </cell>
        </row>
        <row r="951">
          <cell r="Q951" t="str">
            <v/>
          </cell>
          <cell r="T951" t="str">
            <v/>
          </cell>
          <cell r="W951" t="str">
            <v/>
          </cell>
          <cell r="Z951" t="str">
            <v/>
          </cell>
        </row>
        <row r="952">
          <cell r="Q952" t="str">
            <v/>
          </cell>
          <cell r="T952" t="str">
            <v/>
          </cell>
          <cell r="W952" t="str">
            <v/>
          </cell>
          <cell r="Z952" t="str">
            <v/>
          </cell>
        </row>
        <row r="953">
          <cell r="Q953" t="str">
            <v/>
          </cell>
          <cell r="T953" t="str">
            <v/>
          </cell>
          <cell r="W953" t="str">
            <v/>
          </cell>
          <cell r="Z953" t="str">
            <v/>
          </cell>
        </row>
        <row r="954">
          <cell r="Q954" t="str">
            <v/>
          </cell>
          <cell r="T954" t="str">
            <v/>
          </cell>
          <cell r="W954" t="str">
            <v/>
          </cell>
          <cell r="Z954" t="str">
            <v/>
          </cell>
        </row>
        <row r="955">
          <cell r="Q955" t="str">
            <v/>
          </cell>
          <cell r="T955" t="str">
            <v/>
          </cell>
          <cell r="W955" t="str">
            <v/>
          </cell>
          <cell r="Z955" t="str">
            <v/>
          </cell>
        </row>
        <row r="956">
          <cell r="Q956" t="str">
            <v/>
          </cell>
          <cell r="T956" t="str">
            <v/>
          </cell>
          <cell r="W956" t="str">
            <v/>
          </cell>
          <cell r="Z956" t="str">
            <v/>
          </cell>
        </row>
        <row r="957">
          <cell r="Q957" t="str">
            <v/>
          </cell>
          <cell r="T957" t="str">
            <v/>
          </cell>
          <cell r="W957" t="str">
            <v/>
          </cell>
          <cell r="Z957" t="str">
            <v/>
          </cell>
        </row>
        <row r="958">
          <cell r="Q958" t="str">
            <v/>
          </cell>
          <cell r="T958" t="str">
            <v/>
          </cell>
          <cell r="W958" t="str">
            <v/>
          </cell>
          <cell r="Z958" t="str">
            <v/>
          </cell>
        </row>
        <row r="959">
          <cell r="Q959" t="str">
            <v/>
          </cell>
          <cell r="T959" t="str">
            <v/>
          </cell>
          <cell r="W959" t="str">
            <v/>
          </cell>
          <cell r="Z959" t="str">
            <v/>
          </cell>
        </row>
        <row r="960">
          <cell r="Q960" t="str">
            <v/>
          </cell>
          <cell r="T960" t="str">
            <v/>
          </cell>
          <cell r="W960" t="str">
            <v/>
          </cell>
          <cell r="Z960" t="str">
            <v/>
          </cell>
        </row>
        <row r="961">
          <cell r="Q961" t="str">
            <v/>
          </cell>
          <cell r="T961" t="str">
            <v/>
          </cell>
          <cell r="W961" t="str">
            <v/>
          </cell>
          <cell r="Z961" t="str">
            <v/>
          </cell>
        </row>
        <row r="962">
          <cell r="Q962" t="str">
            <v/>
          </cell>
          <cell r="T962" t="str">
            <v/>
          </cell>
          <cell r="W962" t="str">
            <v/>
          </cell>
          <cell r="Z962" t="str">
            <v/>
          </cell>
        </row>
        <row r="963">
          <cell r="Q963" t="str">
            <v/>
          </cell>
          <cell r="T963" t="str">
            <v/>
          </cell>
          <cell r="W963" t="str">
            <v/>
          </cell>
          <cell r="Z963" t="str">
            <v/>
          </cell>
        </row>
        <row r="964">
          <cell r="Q964" t="str">
            <v/>
          </cell>
          <cell r="T964" t="str">
            <v/>
          </cell>
          <cell r="W964" t="str">
            <v/>
          </cell>
          <cell r="Z964" t="str">
            <v/>
          </cell>
        </row>
        <row r="965">
          <cell r="Q965" t="str">
            <v/>
          </cell>
          <cell r="T965" t="str">
            <v/>
          </cell>
          <cell r="W965" t="str">
            <v/>
          </cell>
          <cell r="Z965" t="str">
            <v/>
          </cell>
        </row>
        <row r="966">
          <cell r="Q966" t="str">
            <v/>
          </cell>
          <cell r="T966" t="str">
            <v/>
          </cell>
          <cell r="W966" t="str">
            <v/>
          </cell>
          <cell r="Z966" t="str">
            <v/>
          </cell>
        </row>
        <row r="967">
          <cell r="Q967" t="str">
            <v/>
          </cell>
          <cell r="T967" t="str">
            <v/>
          </cell>
          <cell r="W967" t="str">
            <v/>
          </cell>
          <cell r="Z967" t="str">
            <v/>
          </cell>
        </row>
        <row r="968">
          <cell r="Q968" t="str">
            <v/>
          </cell>
          <cell r="T968" t="str">
            <v/>
          </cell>
          <cell r="W968" t="str">
            <v/>
          </cell>
          <cell r="Z968" t="str">
            <v/>
          </cell>
        </row>
        <row r="969">
          <cell r="Q969" t="str">
            <v/>
          </cell>
          <cell r="T969" t="str">
            <v/>
          </cell>
          <cell r="W969" t="str">
            <v/>
          </cell>
          <cell r="Z969" t="str">
            <v/>
          </cell>
        </row>
        <row r="970">
          <cell r="Q970" t="str">
            <v/>
          </cell>
          <cell r="T970" t="str">
            <v/>
          </cell>
          <cell r="W970" t="str">
            <v/>
          </cell>
          <cell r="Z970" t="str">
            <v/>
          </cell>
        </row>
        <row r="971">
          <cell r="Q971" t="str">
            <v/>
          </cell>
          <cell r="T971" t="str">
            <v/>
          </cell>
          <cell r="W971" t="str">
            <v/>
          </cell>
          <cell r="Z971" t="str">
            <v/>
          </cell>
        </row>
        <row r="972">
          <cell r="Q972" t="str">
            <v/>
          </cell>
          <cell r="T972" t="str">
            <v/>
          </cell>
          <cell r="W972" t="str">
            <v/>
          </cell>
          <cell r="Z972" t="str">
            <v/>
          </cell>
        </row>
        <row r="973">
          <cell r="Q973" t="str">
            <v/>
          </cell>
          <cell r="T973" t="str">
            <v/>
          </cell>
          <cell r="W973" t="str">
            <v/>
          </cell>
          <cell r="Z973" t="str">
            <v/>
          </cell>
        </row>
        <row r="974">
          <cell r="Q974" t="str">
            <v/>
          </cell>
          <cell r="T974" t="str">
            <v/>
          </cell>
          <cell r="W974" t="str">
            <v/>
          </cell>
          <cell r="Z974" t="str">
            <v/>
          </cell>
        </row>
        <row r="975">
          <cell r="Q975" t="str">
            <v/>
          </cell>
          <cell r="T975" t="str">
            <v/>
          </cell>
          <cell r="W975" t="str">
            <v/>
          </cell>
          <cell r="Z975" t="str">
            <v/>
          </cell>
        </row>
        <row r="976">
          <cell r="Q976" t="str">
            <v/>
          </cell>
          <cell r="T976" t="str">
            <v/>
          </cell>
          <cell r="W976" t="str">
            <v/>
          </cell>
          <cell r="Z976" t="str">
            <v/>
          </cell>
        </row>
        <row r="977">
          <cell r="Q977" t="str">
            <v/>
          </cell>
          <cell r="T977" t="str">
            <v/>
          </cell>
          <cell r="W977" t="str">
            <v/>
          </cell>
          <cell r="Z977" t="str">
            <v/>
          </cell>
        </row>
        <row r="978">
          <cell r="Q978" t="str">
            <v/>
          </cell>
          <cell r="T978" t="str">
            <v/>
          </cell>
          <cell r="W978" t="str">
            <v/>
          </cell>
          <cell r="Z978" t="str">
            <v/>
          </cell>
        </row>
        <row r="979">
          <cell r="Q979" t="str">
            <v/>
          </cell>
          <cell r="T979" t="str">
            <v/>
          </cell>
          <cell r="W979" t="str">
            <v/>
          </cell>
          <cell r="Z979" t="str">
            <v/>
          </cell>
        </row>
        <row r="980">
          <cell r="Q980" t="str">
            <v/>
          </cell>
          <cell r="T980" t="str">
            <v/>
          </cell>
          <cell r="W980" t="str">
            <v/>
          </cell>
          <cell r="Z980" t="str">
            <v/>
          </cell>
        </row>
        <row r="981">
          <cell r="Q981" t="str">
            <v/>
          </cell>
          <cell r="T981" t="str">
            <v/>
          </cell>
          <cell r="W981" t="str">
            <v/>
          </cell>
          <cell r="Z981" t="str">
            <v/>
          </cell>
        </row>
        <row r="982">
          <cell r="Q982" t="str">
            <v/>
          </cell>
          <cell r="T982" t="str">
            <v/>
          </cell>
          <cell r="W982" t="str">
            <v/>
          </cell>
          <cell r="Z982" t="str">
            <v/>
          </cell>
        </row>
        <row r="983">
          <cell r="Q983" t="str">
            <v/>
          </cell>
          <cell r="T983" t="str">
            <v/>
          </cell>
          <cell r="W983" t="str">
            <v/>
          </cell>
          <cell r="Z983" t="str">
            <v/>
          </cell>
        </row>
        <row r="984">
          <cell r="Q984" t="str">
            <v/>
          </cell>
          <cell r="T984" t="str">
            <v/>
          </cell>
          <cell r="W984" t="str">
            <v/>
          </cell>
          <cell r="Z984" t="str">
            <v/>
          </cell>
        </row>
        <row r="985">
          <cell r="Q985" t="str">
            <v/>
          </cell>
          <cell r="T985" t="str">
            <v/>
          </cell>
          <cell r="W985" t="str">
            <v/>
          </cell>
          <cell r="Z985" t="str">
            <v/>
          </cell>
        </row>
        <row r="986">
          <cell r="Q986" t="str">
            <v/>
          </cell>
          <cell r="T986" t="str">
            <v/>
          </cell>
          <cell r="W986" t="str">
            <v/>
          </cell>
          <cell r="Z986" t="str">
            <v/>
          </cell>
        </row>
        <row r="987">
          <cell r="Q987" t="str">
            <v/>
          </cell>
          <cell r="T987" t="str">
            <v/>
          </cell>
          <cell r="W987" t="str">
            <v/>
          </cell>
          <cell r="Z987" t="str">
            <v/>
          </cell>
        </row>
        <row r="988">
          <cell r="Q988" t="str">
            <v/>
          </cell>
          <cell r="T988" t="str">
            <v/>
          </cell>
          <cell r="W988" t="str">
            <v/>
          </cell>
          <cell r="Z988" t="str">
            <v/>
          </cell>
        </row>
        <row r="989">
          <cell r="Q989" t="str">
            <v/>
          </cell>
          <cell r="T989" t="str">
            <v/>
          </cell>
          <cell r="W989" t="str">
            <v/>
          </cell>
          <cell r="Z989" t="str">
            <v/>
          </cell>
        </row>
        <row r="990">
          <cell r="Q990" t="str">
            <v/>
          </cell>
          <cell r="T990" t="str">
            <v/>
          </cell>
          <cell r="W990" t="str">
            <v/>
          </cell>
          <cell r="Z990" t="str">
            <v/>
          </cell>
        </row>
        <row r="991">
          <cell r="Q991" t="str">
            <v/>
          </cell>
          <cell r="T991" t="str">
            <v/>
          </cell>
          <cell r="W991" t="str">
            <v/>
          </cell>
          <cell r="Z991" t="str">
            <v/>
          </cell>
        </row>
        <row r="992">
          <cell r="Q992" t="str">
            <v/>
          </cell>
          <cell r="T992" t="str">
            <v/>
          </cell>
          <cell r="W992" t="str">
            <v/>
          </cell>
          <cell r="Z992"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0">
          <cell r="H40">
            <v>100000</v>
          </cell>
        </row>
      </sheetData>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H3" t="str">
            <v>PRAHA 1</v>
          </cell>
          <cell r="J3" t="str">
            <v>ČESKÁ REPUBLIKA</v>
          </cell>
          <cell r="Q3" t="str">
            <v>Rostlinná a živočišná výroba, myslivost a související činnosti</v>
          </cell>
        </row>
        <row r="4">
          <cell r="B4" t="str">
            <v>STŘEDOČESKÝ KRAJ</v>
          </cell>
          <cell r="H4" t="str">
            <v>PRAHA 2</v>
          </cell>
          <cell r="J4" t="str">
            <v>Afghánská islámská republika</v>
          </cell>
          <cell r="Q4" t="str">
            <v>Lesnictví a těžba dřeva</v>
          </cell>
        </row>
        <row r="5">
          <cell r="B5" t="str">
            <v>JIHOČESKÝ KRAJ</v>
          </cell>
          <cell r="H5" t="str">
            <v>PRAHA 3</v>
          </cell>
          <cell r="J5" t="str">
            <v>Provincie Alandy</v>
          </cell>
          <cell r="Q5" t="str">
            <v>Rybolov a akvakultura</v>
          </cell>
        </row>
        <row r="6">
          <cell r="B6" t="str">
            <v>PLZEŇSKÝ KRAJ</v>
          </cell>
          <cell r="H6" t="str">
            <v>PRAHA 4</v>
          </cell>
          <cell r="J6" t="str">
            <v>Albánská republika</v>
          </cell>
          <cell r="Q6" t="str">
            <v>Těžba a úprava černého a hnědého uhlí</v>
          </cell>
        </row>
        <row r="7">
          <cell r="B7" t="str">
            <v>KARLOVARSKÝ KRAJ</v>
          </cell>
          <cell r="H7" t="str">
            <v>PRAHA 5</v>
          </cell>
          <cell r="J7" t="str">
            <v>Alžírská demokratická a lidová republika</v>
          </cell>
          <cell r="Q7" t="str">
            <v>Těžba ropy a zemního plynu</v>
          </cell>
        </row>
        <row r="8">
          <cell r="B8" t="str">
            <v>ÚSTECKÝ KRAJ</v>
          </cell>
          <cell r="H8" t="str">
            <v>PRAHA 6</v>
          </cell>
          <cell r="J8" t="str">
            <v>Území Americká Samoa</v>
          </cell>
          <cell r="Q8" t="str">
            <v>Těžba a úprava rud</v>
          </cell>
        </row>
        <row r="9">
          <cell r="B9" t="str">
            <v>LIBERECKÝ KRAJ</v>
          </cell>
          <cell r="H9" t="str">
            <v>PRAHA 7</v>
          </cell>
          <cell r="J9" t="str">
            <v>Americké Panenské ostrovy</v>
          </cell>
          <cell r="Q9" t="str">
            <v>Ostatní těžba a dobývání</v>
          </cell>
        </row>
        <row r="10">
          <cell r="B10" t="str">
            <v>KRÁLOVÉHRADEC. KR.</v>
          </cell>
          <cell r="H10" t="str">
            <v>PRAHA 8</v>
          </cell>
          <cell r="J10" t="str">
            <v>Andorrské knížectví</v>
          </cell>
          <cell r="Q10" t="str">
            <v>Podpůrné činnosti při těžbě</v>
          </cell>
        </row>
        <row r="11">
          <cell r="B11" t="str">
            <v>PARDUBICKÝ KRAJ</v>
          </cell>
          <cell r="H11" t="str">
            <v>PRAHA 9</v>
          </cell>
          <cell r="J11" t="str">
            <v>Angolská republika</v>
          </cell>
          <cell r="Q11" t="str">
            <v>Výroba potravinářských výrobků</v>
          </cell>
        </row>
        <row r="12">
          <cell r="B12" t="str">
            <v>KRAJ VYSOČINA</v>
          </cell>
          <cell r="H12" t="str">
            <v>PRAHA 10</v>
          </cell>
          <cell r="J12" t="str">
            <v>Anguilla</v>
          </cell>
          <cell r="Q12" t="str">
            <v>Výroba nápojů</v>
          </cell>
        </row>
        <row r="13">
          <cell r="B13" t="str">
            <v>JIHOMORAVSKÝ KRAJ</v>
          </cell>
          <cell r="H13" t="str">
            <v>PRAHA-JIŽNÍ MĚSTO</v>
          </cell>
          <cell r="J13" t="str">
            <v>Antarktida</v>
          </cell>
          <cell r="Q13" t="str">
            <v>Pěstování plodin jiných než trvalých</v>
          </cell>
        </row>
        <row r="14">
          <cell r="B14" t="str">
            <v>OLOMOUCKÝ KRAJ</v>
          </cell>
          <cell r="H14" t="str">
            <v>PRAHA-MODŘANY</v>
          </cell>
          <cell r="J14" t="str">
            <v>Antigua a Barbuda</v>
          </cell>
          <cell r="Q14" t="str">
            <v>Výroba tabákových výrobků</v>
          </cell>
        </row>
        <row r="15">
          <cell r="B15" t="str">
            <v>MORAVSKOSLEZS. KR.</v>
          </cell>
          <cell r="H15" t="str">
            <v>PRAHA - VÝCHOD</v>
          </cell>
          <cell r="J15" t="str">
            <v>Argentinská republika</v>
          </cell>
          <cell r="Q15" t="str">
            <v>Pěstování trvalých plodin</v>
          </cell>
        </row>
        <row r="16">
          <cell r="B16" t="str">
            <v>ZLÍNSKÝ KRAJ</v>
          </cell>
          <cell r="H16" t="str">
            <v>PRAHA ZÁPAD</v>
          </cell>
          <cell r="J16" t="str">
            <v>Arménská republika</v>
          </cell>
          <cell r="Q16" t="str">
            <v>Výroba textilií</v>
          </cell>
        </row>
        <row r="17">
          <cell r="B17" t="str">
            <v>SPECIALIZOVANÝ</v>
          </cell>
          <cell r="H17" t="str">
            <v>BENEŠOV</v>
          </cell>
          <cell r="J17" t="str">
            <v>Aruba</v>
          </cell>
          <cell r="Q17" t="str">
            <v>Množení rostlin</v>
          </cell>
        </row>
        <row r="18">
          <cell r="H18" t="str">
            <v>BEROUN</v>
          </cell>
          <cell r="J18" t="str">
            <v>Australské společenství</v>
          </cell>
          <cell r="Q18" t="str">
            <v>Výroba oděvů</v>
          </cell>
        </row>
        <row r="19">
          <cell r="H19" t="str">
            <v>BRANDÝS N.L. - ST.BOL.</v>
          </cell>
          <cell r="J19" t="str">
            <v>Ázerbájdžánská republika</v>
          </cell>
          <cell r="Q19" t="str">
            <v>živočišná výroba</v>
          </cell>
        </row>
        <row r="20">
          <cell r="H20" t="str">
            <v>ČÁSLAV</v>
          </cell>
          <cell r="J20" t="str">
            <v>Bahamské společenství</v>
          </cell>
          <cell r="Q20" t="str">
            <v>Výroba usní a souvisejících výrobků</v>
          </cell>
        </row>
        <row r="21">
          <cell r="H21" t="str">
            <v>ČESKÝ BROD</v>
          </cell>
          <cell r="J21" t="str">
            <v>Království Bahrajn</v>
          </cell>
          <cell r="Q21" t="str">
            <v>Smíšené hospodářství</v>
          </cell>
        </row>
        <row r="22">
          <cell r="H22" t="str">
            <v>DOBŘÍŠ</v>
          </cell>
          <cell r="J22" t="str">
            <v>Bangladéšská lidová republika</v>
          </cell>
          <cell r="Q22" t="str">
            <v>Zprac.dřeva,výroba dřevěných,korkových,proutěných a slam.výr.,kromě nábytku</v>
          </cell>
        </row>
        <row r="23">
          <cell r="H23" t="str">
            <v>HOŘOVICE</v>
          </cell>
          <cell r="J23" t="str">
            <v>Barbados</v>
          </cell>
          <cell r="Q23" t="str">
            <v>Podpůrné činnosti pro zemědělství a posklizňové činnosti</v>
          </cell>
        </row>
        <row r="24">
          <cell r="H24" t="str">
            <v>KLADNO</v>
          </cell>
          <cell r="J24" t="str">
            <v>Belgické království</v>
          </cell>
          <cell r="Q24" t="str">
            <v>Výroba papíru a výrobků z papíru</v>
          </cell>
        </row>
        <row r="25">
          <cell r="H25" t="str">
            <v>KOLÍN</v>
          </cell>
          <cell r="J25" t="str">
            <v>Belize</v>
          </cell>
          <cell r="Q25" t="str">
            <v>Lov a odchyt divokých zvířat a související činnosti</v>
          </cell>
        </row>
        <row r="26">
          <cell r="H26" t="str">
            <v>KRALUPY NAD VLTAVOU</v>
          </cell>
          <cell r="J26" t="str">
            <v>Běloruská republika</v>
          </cell>
          <cell r="Q26" t="str">
            <v>Tisk a rozmnožování nahraných nosičů</v>
          </cell>
        </row>
        <row r="27">
          <cell r="H27" t="str">
            <v>KUTNÁ HORA</v>
          </cell>
          <cell r="J27" t="str">
            <v>Beninská republika</v>
          </cell>
          <cell r="Q27" t="str">
            <v>Výroba koksu a rafinovaných ropných produktů</v>
          </cell>
        </row>
        <row r="28">
          <cell r="H28" t="str">
            <v>MĚLNÍK</v>
          </cell>
          <cell r="J28" t="str">
            <v>Bermudy</v>
          </cell>
          <cell r="Q28" t="str">
            <v>Výroba chemických látek a chemických přípravků</v>
          </cell>
        </row>
        <row r="29">
          <cell r="H29" t="str">
            <v>MLADÁ BOLESLAV</v>
          </cell>
          <cell r="J29" t="str">
            <v>Bhútánské království</v>
          </cell>
          <cell r="Q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row>
        <row r="31">
          <cell r="H31" t="str">
            <v>NERATOVICE</v>
          </cell>
          <cell r="J31" t="str">
            <v>Bonaire, Svatý Eustach a Saba</v>
          </cell>
          <cell r="Q31" t="str">
            <v>Výroba pryžových a plastových výrobků</v>
          </cell>
        </row>
        <row r="32">
          <cell r="H32" t="str">
            <v>NYMBURK</v>
          </cell>
          <cell r="J32" t="str">
            <v>Bosna a Hercegovina</v>
          </cell>
          <cell r="Q32" t="str">
            <v>Těžba dřeva</v>
          </cell>
        </row>
        <row r="33">
          <cell r="H33" t="str">
            <v>PODĚBRADY</v>
          </cell>
          <cell r="J33" t="str">
            <v>Botswanská republika</v>
          </cell>
          <cell r="Q33" t="str">
            <v>Výroba ostatních nekovových minerálních výrobků</v>
          </cell>
        </row>
        <row r="34">
          <cell r="H34" t="str">
            <v>PŘÍBRAM</v>
          </cell>
          <cell r="J34" t="str">
            <v>Bouvetův ostrov</v>
          </cell>
          <cell r="Q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row>
        <row r="36">
          <cell r="H36" t="str">
            <v>ŘÍČANY</v>
          </cell>
          <cell r="J36" t="str">
            <v>Britské území v Indickém oceánu</v>
          </cell>
          <cell r="Q36" t="str">
            <v>Podpůrné činnosti pro lesnictví</v>
          </cell>
        </row>
        <row r="37">
          <cell r="H37" t="str">
            <v>SEDLČANY</v>
          </cell>
          <cell r="J37" t="str">
            <v>Britské Panenské ostrovy</v>
          </cell>
          <cell r="Q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row>
        <row r="39">
          <cell r="H39" t="str">
            <v>VLAŠIM</v>
          </cell>
          <cell r="J39" t="str">
            <v>Bulharská republika</v>
          </cell>
          <cell r="Q39" t="str">
            <v>Výroba elektrických zařízení</v>
          </cell>
        </row>
        <row r="40">
          <cell r="H40" t="str">
            <v>VOTICE</v>
          </cell>
          <cell r="J40" t="str">
            <v>Burkina Faso</v>
          </cell>
          <cell r="Q40" t="str">
            <v>Výroba strojů a zařízení j. n.</v>
          </cell>
        </row>
        <row r="41">
          <cell r="H41" t="str">
            <v>ČESKÉ BUDĚJOVICE</v>
          </cell>
          <cell r="J41" t="str">
            <v>Burundská republika</v>
          </cell>
          <cell r="Q41" t="str">
            <v>Výroba motorových vozidel (kromě motocyklů), přívěsů a návěsů</v>
          </cell>
        </row>
        <row r="42">
          <cell r="H42" t="str">
            <v>BLATNÁ</v>
          </cell>
          <cell r="J42" t="str">
            <v>Cookovy ostrovy</v>
          </cell>
          <cell r="Q42" t="str">
            <v>Výroba ostatních dopravních prostředků a zařízení</v>
          </cell>
        </row>
        <row r="43">
          <cell r="H43" t="str">
            <v>ČESKÝ KRUMLOV</v>
          </cell>
          <cell r="J43" t="str">
            <v>Curaçao</v>
          </cell>
          <cell r="Q43" t="str">
            <v>Výroba nábytku</v>
          </cell>
        </row>
        <row r="44">
          <cell r="H44" t="str">
            <v>DAČICE</v>
          </cell>
          <cell r="J44" t="str">
            <v>Čadská republika</v>
          </cell>
          <cell r="Q44" t="str">
            <v>Rybolov</v>
          </cell>
        </row>
        <row r="45">
          <cell r="H45" t="str">
            <v>JINDŘICHŮV HRADEC</v>
          </cell>
          <cell r="J45" t="str">
            <v>Černá Hora</v>
          </cell>
          <cell r="Q45" t="str">
            <v>Ostatní zpracovatelský průmysl</v>
          </cell>
        </row>
        <row r="46">
          <cell r="H46" t="str">
            <v>KAPLICE</v>
          </cell>
          <cell r="J46" t="str">
            <v>Česká republika</v>
          </cell>
          <cell r="Q46" t="str">
            <v>Akvakultura</v>
          </cell>
        </row>
        <row r="47">
          <cell r="H47" t="str">
            <v>MILEVSKO</v>
          </cell>
          <cell r="J47" t="str">
            <v>Čínská lidová republika</v>
          </cell>
          <cell r="Q47" t="str">
            <v>Opravy a instalace strojů a zařízení</v>
          </cell>
        </row>
        <row r="48">
          <cell r="H48" t="str">
            <v>PÍSEK</v>
          </cell>
          <cell r="J48" t="str">
            <v>Dánské království</v>
          </cell>
          <cell r="Q48" t="str">
            <v>Výroba a rozvod elektřiny, plynu, tepla a klimatizovaného vzduchu</v>
          </cell>
        </row>
        <row r="49">
          <cell r="H49" t="str">
            <v>PRACHATICE</v>
          </cell>
          <cell r="J49" t="str">
            <v>Demokratická republika Kongo</v>
          </cell>
          <cell r="Q49" t="str">
            <v>Shromažďování, úprava a rozvod vody</v>
          </cell>
        </row>
        <row r="50">
          <cell r="H50" t="str">
            <v>SOBĚSLAV</v>
          </cell>
          <cell r="J50" t="str">
            <v>Dominické společenství</v>
          </cell>
          <cell r="Q50" t="str">
            <v>Činnosti související s odpadními vodami</v>
          </cell>
        </row>
        <row r="51">
          <cell r="H51" t="str">
            <v>STRAKONICE</v>
          </cell>
          <cell r="J51" t="str">
            <v>Dominikánská republika</v>
          </cell>
          <cell r="Q51" t="str">
            <v>Shromažďování,sběr a odstraňování odpadů,úprava odpadů k dalšímu využití</v>
          </cell>
        </row>
        <row r="52">
          <cell r="H52" t="str">
            <v>TÁBOR</v>
          </cell>
          <cell r="J52" t="str">
            <v>Džibutská republika</v>
          </cell>
          <cell r="Q52" t="str">
            <v>Sanace a jiné činnosti související s odpady</v>
          </cell>
        </row>
        <row r="53">
          <cell r="H53" t="str">
            <v>TRHOVÉ SVINY</v>
          </cell>
          <cell r="J53" t="str">
            <v>Egyptská arabská republika</v>
          </cell>
          <cell r="Q53" t="str">
            <v>Výstavba budov</v>
          </cell>
        </row>
        <row r="54">
          <cell r="H54" t="str">
            <v>TŘEBOŇ</v>
          </cell>
          <cell r="J54" t="str">
            <v>Ekvádorská republika</v>
          </cell>
          <cell r="Q54" t="str">
            <v>Inženýrské stavitelství</v>
          </cell>
        </row>
        <row r="55">
          <cell r="H55" t="str">
            <v>TÝN NAD VLTAVOU</v>
          </cell>
          <cell r="J55" t="str">
            <v>Stát Eritrea</v>
          </cell>
          <cell r="Q55" t="str">
            <v>Specializované stavební činnosti</v>
          </cell>
        </row>
        <row r="56">
          <cell r="H56" t="str">
            <v>VIMPERK</v>
          </cell>
          <cell r="J56" t="str">
            <v>Estonská republika</v>
          </cell>
          <cell r="Q56" t="str">
            <v>Velkoobchod, maloobchod a opravy motorových vozidel</v>
          </cell>
        </row>
        <row r="57">
          <cell r="H57" t="str">
            <v>VODŇANY</v>
          </cell>
          <cell r="J57" t="str">
            <v>Etiopská federativní demokratická republika</v>
          </cell>
          <cell r="Q57" t="str">
            <v>Velkoobchod, kromě motorových vozidel</v>
          </cell>
        </row>
        <row r="58">
          <cell r="H58" t="str">
            <v>PLZEŇ</v>
          </cell>
          <cell r="J58" t="str">
            <v>Faerské ostrovy</v>
          </cell>
          <cell r="Q58" t="str">
            <v>Maloobchod, kromě motorových vozidel</v>
          </cell>
        </row>
        <row r="59">
          <cell r="H59" t="str">
            <v>PLZEŇ-SEVER</v>
          </cell>
          <cell r="J59" t="str">
            <v>Falklandské ostrovy</v>
          </cell>
          <cell r="Q59" t="str">
            <v>Pozemní a potrubní doprava</v>
          </cell>
        </row>
        <row r="60">
          <cell r="H60" t="str">
            <v>PLZEŇ-JIH</v>
          </cell>
          <cell r="J60" t="str">
            <v>Fidžijská republika</v>
          </cell>
          <cell r="Q60" t="str">
            <v>Vodní doprava</v>
          </cell>
        </row>
        <row r="61">
          <cell r="H61" t="str">
            <v>BLOVICE</v>
          </cell>
          <cell r="J61" t="str">
            <v>Filipínská republika</v>
          </cell>
          <cell r="Q61" t="str">
            <v>Letecká doprava</v>
          </cell>
        </row>
        <row r="62">
          <cell r="H62" t="str">
            <v>DOMAŽLICE</v>
          </cell>
          <cell r="J62" t="str">
            <v>Finská republika</v>
          </cell>
          <cell r="Q62" t="str">
            <v>Těžba a úprava černého uhlí</v>
          </cell>
        </row>
        <row r="63">
          <cell r="H63" t="str">
            <v>HORAŽĎOVICE</v>
          </cell>
          <cell r="J63" t="str">
            <v>Francouzská republika</v>
          </cell>
          <cell r="Q63" t="str">
            <v>Skladování a vedlejší činnosti v dopravě</v>
          </cell>
        </row>
        <row r="64">
          <cell r="H64" t="str">
            <v>HORŠOVSKÝ TÝN</v>
          </cell>
          <cell r="J64" t="str">
            <v>Region Francouzská Guyana</v>
          </cell>
          <cell r="Q64" t="str">
            <v>Těžba a úprava hnědého uhlí</v>
          </cell>
        </row>
        <row r="65">
          <cell r="H65" t="str">
            <v>KLATOVY</v>
          </cell>
          <cell r="J65" t="str">
            <v>Teritorium Francouzská jižní a antarktická území</v>
          </cell>
          <cell r="Q65" t="str">
            <v>Poštovní a kurýrní činnosti</v>
          </cell>
        </row>
        <row r="66">
          <cell r="H66" t="str">
            <v>KRALOVICE</v>
          </cell>
          <cell r="J66" t="str">
            <v>Francouzská Polynésie</v>
          </cell>
          <cell r="Q66" t="str">
            <v>Ubytování</v>
          </cell>
        </row>
        <row r="67">
          <cell r="H67" t="str">
            <v>NEPOMUK</v>
          </cell>
          <cell r="J67" t="str">
            <v>Gabonská republika</v>
          </cell>
          <cell r="Q67" t="str">
            <v>Stravování a pohostinství</v>
          </cell>
        </row>
        <row r="68">
          <cell r="H68" t="str">
            <v>PŘEŠTICE</v>
          </cell>
          <cell r="J68" t="str">
            <v>Gambijská republika</v>
          </cell>
          <cell r="Q68" t="str">
            <v>Vydavatelské činnosti</v>
          </cell>
        </row>
        <row r="69">
          <cell r="H69" t="str">
            <v>ROKYCANY</v>
          </cell>
          <cell r="J69" t="str">
            <v>Ghanská republika</v>
          </cell>
          <cell r="Q69" t="str">
            <v>Čin.v obl.filmů,videozázn.a tel.programů,pořiz.zvuk.nahr.a hudeb.vyd.čin.</v>
          </cell>
        </row>
        <row r="70">
          <cell r="H70" t="str">
            <v>TACHOV</v>
          </cell>
          <cell r="J70" t="str">
            <v>Gibraltar</v>
          </cell>
          <cell r="Q70" t="str">
            <v>Tvorba programů a vysílání</v>
          </cell>
        </row>
        <row r="71">
          <cell r="H71" t="str">
            <v>STŘÍBRO</v>
          </cell>
          <cell r="J71" t="str">
            <v>Grenadský stát</v>
          </cell>
          <cell r="Q71" t="str">
            <v>Telekomunikační činnosti</v>
          </cell>
        </row>
        <row r="72">
          <cell r="H72" t="str">
            <v>SUŠICE</v>
          </cell>
          <cell r="J72" t="str">
            <v>Grónsko</v>
          </cell>
          <cell r="Q72" t="str">
            <v>Těžba ropy</v>
          </cell>
        </row>
        <row r="73">
          <cell r="H73" t="str">
            <v>KARLOVY VARY</v>
          </cell>
          <cell r="J73" t="str">
            <v>Gruzie</v>
          </cell>
          <cell r="Q73" t="str">
            <v>Činnosti v oblasti informačních technologií</v>
          </cell>
        </row>
        <row r="74">
          <cell r="H74" t="str">
            <v>AŠ</v>
          </cell>
          <cell r="J74" t="str">
            <v>Region Guadeloupe</v>
          </cell>
          <cell r="Q74" t="str">
            <v>Těžba zemního plynu</v>
          </cell>
        </row>
        <row r="75">
          <cell r="H75" t="str">
            <v>CHEB</v>
          </cell>
          <cell r="J75" t="str">
            <v>Teritorium Guam</v>
          </cell>
          <cell r="Q75" t="str">
            <v>Informační činnosti</v>
          </cell>
        </row>
        <row r="76">
          <cell r="H76" t="str">
            <v>KRASLICE</v>
          </cell>
          <cell r="J76" t="str">
            <v>Guatemalská republika</v>
          </cell>
          <cell r="Q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row>
        <row r="78">
          <cell r="H78" t="str">
            <v>OSTROV NAD OHŘÍ</v>
          </cell>
          <cell r="J78" t="str">
            <v>Guinejská republika</v>
          </cell>
          <cell r="Q78" t="str">
            <v>Ostatní finanční činnosti</v>
          </cell>
        </row>
        <row r="79">
          <cell r="H79" t="str">
            <v>SOKOLOV</v>
          </cell>
          <cell r="J79" t="str">
            <v>Republika Guinea-Bissau</v>
          </cell>
          <cell r="Q79" t="str">
            <v>Činnosti v oblasti nemovitostí</v>
          </cell>
        </row>
        <row r="80">
          <cell r="H80" t="str">
            <v>ÚSTÍ NAD LABEM</v>
          </cell>
          <cell r="J80" t="str">
            <v>Guyanská kooperativní republika</v>
          </cell>
          <cell r="Q80" t="str">
            <v>Právní a účetnické činnosti</v>
          </cell>
        </row>
        <row r="81">
          <cell r="H81" t="str">
            <v>BÍLINA</v>
          </cell>
          <cell r="J81" t="str">
            <v>Republika Haiti</v>
          </cell>
          <cell r="Q81" t="str">
            <v>Činnosti vedení podniků; poradenství v oblasti řízení</v>
          </cell>
        </row>
        <row r="82">
          <cell r="H82" t="str">
            <v>DĚČÍN</v>
          </cell>
          <cell r="J82" t="str">
            <v>Heardův ostrov a MacDonaldovy ostrovy</v>
          </cell>
          <cell r="Q82" t="str">
            <v>Architektonické a inženýrské činnosti; technické zkoušky a analýzy</v>
          </cell>
        </row>
        <row r="83">
          <cell r="H83" t="str">
            <v>CHOMUTOV</v>
          </cell>
          <cell r="J83" t="str">
            <v>Honduraská republika</v>
          </cell>
          <cell r="Q83" t="str">
            <v>Těžba a úprava železných rud</v>
          </cell>
        </row>
        <row r="84">
          <cell r="H84" t="str">
            <v>KADAŇ</v>
          </cell>
          <cell r="J84" t="str">
            <v>Zvláštní administrativní oblast Čínské lidové republiky Hongkong</v>
          </cell>
          <cell r="Q84" t="str">
            <v>Výzkum a vývoj</v>
          </cell>
        </row>
        <row r="85">
          <cell r="H85" t="str">
            <v>LIBOCHOVICE</v>
          </cell>
          <cell r="J85" t="str">
            <v>Chilská republika</v>
          </cell>
          <cell r="Q85" t="str">
            <v>Těžba a úprava neželezných rud</v>
          </cell>
        </row>
        <row r="86">
          <cell r="H86" t="str">
            <v>LITOMĚŘICE</v>
          </cell>
          <cell r="J86" t="str">
            <v>Chorvatská republika</v>
          </cell>
          <cell r="Q86" t="str">
            <v>Reklama a průzkum trhu</v>
          </cell>
        </row>
        <row r="87">
          <cell r="H87" t="str">
            <v>LITVÍNOV</v>
          </cell>
          <cell r="J87" t="str">
            <v>Indická republika</v>
          </cell>
          <cell r="Q87" t="str">
            <v>Ostatní profesní, vědecké a technické činnosti</v>
          </cell>
        </row>
        <row r="88">
          <cell r="H88" t="str">
            <v>LOUNY</v>
          </cell>
          <cell r="J88" t="str">
            <v>Indonéská republika</v>
          </cell>
          <cell r="Q88" t="str">
            <v>Veterinární činnosti</v>
          </cell>
        </row>
        <row r="89">
          <cell r="H89" t="str">
            <v>MOST</v>
          </cell>
          <cell r="J89" t="str">
            <v>Irácká republika</v>
          </cell>
          <cell r="Q89" t="str">
            <v>Činnosti v oblasti pronájmu a operativního leasingu</v>
          </cell>
        </row>
        <row r="90">
          <cell r="H90" t="str">
            <v>PODBOŘANY</v>
          </cell>
          <cell r="J90" t="str">
            <v>Íránská islámská republika</v>
          </cell>
          <cell r="Q90" t="str">
            <v>Činnosti související se zaměstnáním</v>
          </cell>
        </row>
        <row r="91">
          <cell r="H91" t="str">
            <v>ROUDNICE NAD LABEM</v>
          </cell>
          <cell r="J91" t="str">
            <v>Irsko</v>
          </cell>
          <cell r="Q91" t="str">
            <v>Činnosti cest.agentur,kanceláří a jiné rezervační a související činnosti</v>
          </cell>
        </row>
        <row r="92">
          <cell r="H92" t="str">
            <v>RUMBURK</v>
          </cell>
          <cell r="J92" t="str">
            <v>Islandská republika</v>
          </cell>
          <cell r="Q92" t="str">
            <v>Bezpečnostní a pátrací činnosti</v>
          </cell>
        </row>
        <row r="93">
          <cell r="H93" t="str">
            <v>TEPLICE</v>
          </cell>
          <cell r="J93" t="str">
            <v>Italská republika</v>
          </cell>
          <cell r="Q93" t="str">
            <v>Činnosti související se stavbami a úpravou krajiny</v>
          </cell>
        </row>
        <row r="94">
          <cell r="H94" t="str">
            <v>ŽATEC</v>
          </cell>
          <cell r="J94" t="str">
            <v>Stát Izrael</v>
          </cell>
          <cell r="Q94" t="str">
            <v>Dobývání kamene, písků a jílů</v>
          </cell>
        </row>
        <row r="95">
          <cell r="H95" t="str">
            <v>LIBEREC</v>
          </cell>
          <cell r="J95" t="str">
            <v>Jamajka</v>
          </cell>
          <cell r="Q95" t="str">
            <v>Administrativní, kancelářské a jiné podpůrné činnosti pro podnikání</v>
          </cell>
        </row>
        <row r="96">
          <cell r="H96" t="str">
            <v>ČESKÁ LÍPA</v>
          </cell>
          <cell r="J96" t="str">
            <v>Japonsko</v>
          </cell>
          <cell r="Q96" t="str">
            <v>Veřejná správa a obrana; povinné sociální zabezpečení</v>
          </cell>
        </row>
        <row r="97">
          <cell r="H97" t="str">
            <v>FRÝDLANT</v>
          </cell>
          <cell r="J97" t="str">
            <v>Jemenská republika</v>
          </cell>
          <cell r="Q97" t="str">
            <v>Vzdělávání</v>
          </cell>
        </row>
        <row r="98">
          <cell r="H98" t="str">
            <v>JABLONEC NAD NISOU</v>
          </cell>
          <cell r="J98" t="str">
            <v>Bailiwick Jersey</v>
          </cell>
          <cell r="Q98" t="str">
            <v>Zdravotní péče</v>
          </cell>
        </row>
        <row r="99">
          <cell r="H99" t="str">
            <v>JILEMNICE</v>
          </cell>
          <cell r="J99" t="str">
            <v>Jihoafrická republika</v>
          </cell>
          <cell r="Q99" t="str">
            <v>Pobytové služby sociální péče</v>
          </cell>
        </row>
        <row r="100">
          <cell r="H100" t="str">
            <v>NOVÝ BOR</v>
          </cell>
          <cell r="J100" t="str">
            <v>Jižní Georgie a Jižní Sandwichovy ostrovy</v>
          </cell>
          <cell r="Q100" t="str">
            <v>Ambulantní nebo terénní sociální služby</v>
          </cell>
        </row>
        <row r="101">
          <cell r="H101" t="str">
            <v>SEMILY</v>
          </cell>
          <cell r="J101" t="str">
            <v>Jihosúdánská republika</v>
          </cell>
          <cell r="Q101" t="str">
            <v>Těžba a dobývání j. n.</v>
          </cell>
        </row>
        <row r="102">
          <cell r="H102" t="str">
            <v>TANVALD</v>
          </cell>
          <cell r="J102" t="str">
            <v>Jordánské hášimovské království</v>
          </cell>
          <cell r="Q102" t="str">
            <v>Tvůrčí, umělecké a zábavní činnosti</v>
          </cell>
        </row>
        <row r="103">
          <cell r="H103" t="str">
            <v>TURNOV</v>
          </cell>
          <cell r="J103" t="str">
            <v>Kajmanské ostrovy</v>
          </cell>
          <cell r="Q103" t="str">
            <v>Činnosti knihoven, archivů, muzeí a jiných kulturních zařízení</v>
          </cell>
        </row>
        <row r="104">
          <cell r="H104" t="str">
            <v>ŽELEZNÝ BROD</v>
          </cell>
          <cell r="J104" t="str">
            <v>Kambodžské království</v>
          </cell>
          <cell r="Q104" t="str">
            <v>Podpůrné činnosti při těžbě ropy a zemního plynu</v>
          </cell>
        </row>
        <row r="105">
          <cell r="H105" t="str">
            <v>HRADEC KRÁLOVÉ</v>
          </cell>
          <cell r="J105" t="str">
            <v>Kamerunská republika</v>
          </cell>
          <cell r="Q105" t="str">
            <v>Činnosti heren, kasin a sázkových kanceláří</v>
          </cell>
        </row>
        <row r="106">
          <cell r="H106" t="str">
            <v>BROUMOV</v>
          </cell>
          <cell r="J106" t="str">
            <v>Kanada</v>
          </cell>
          <cell r="Q106" t="str">
            <v>Sportovní, zábavní a rekreační činnosti</v>
          </cell>
        </row>
        <row r="107">
          <cell r="H107" t="str">
            <v>DOBRUŠKA</v>
          </cell>
          <cell r="J107" t="str">
            <v>Kapverdská republika</v>
          </cell>
          <cell r="Q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row>
        <row r="109">
          <cell r="H109" t="str">
            <v>HOŘICE</v>
          </cell>
          <cell r="J109" t="str">
            <v>Republika Kazachstán</v>
          </cell>
          <cell r="Q109" t="str">
            <v>Poskytování ostatních osobních služeb</v>
          </cell>
        </row>
        <row r="110">
          <cell r="H110" t="str">
            <v>JAROMĚŘ</v>
          </cell>
          <cell r="J110" t="str">
            <v>Keňská republika</v>
          </cell>
          <cell r="Q110" t="str">
            <v>Činnosti domácností jako zaměstnavatelů domácího personálu</v>
          </cell>
        </row>
        <row r="111">
          <cell r="H111" t="str">
            <v>JIČÍN</v>
          </cell>
          <cell r="J111" t="str">
            <v>Republika Kiribati</v>
          </cell>
          <cell r="Q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row>
        <row r="113">
          <cell r="H113" t="str">
            <v>NÁCHOD</v>
          </cell>
          <cell r="J113" t="str">
            <v>Kolumbijská republika</v>
          </cell>
          <cell r="Q113" t="str">
            <v>Podpůrné činnosti při ostatní těžbě a dobývání</v>
          </cell>
        </row>
        <row r="114">
          <cell r="H114" t="str">
            <v>NOVÁ PAKA</v>
          </cell>
          <cell r="J114" t="str">
            <v>Komorský svaz</v>
          </cell>
          <cell r="Q114" t="str">
            <v>Zpracování a konzervování masa a výroba masných výrobků</v>
          </cell>
        </row>
        <row r="115">
          <cell r="H115" t="str">
            <v>NOVÝ BYDŽOV</v>
          </cell>
          <cell r="J115" t="str">
            <v>Konžská republika</v>
          </cell>
          <cell r="Q115" t="str">
            <v>Zpracování a konzervování ryb, korýšů a měkkýšů</v>
          </cell>
        </row>
        <row r="116">
          <cell r="H116" t="str">
            <v>RYCHNOV NAD KNĚŽ.</v>
          </cell>
          <cell r="J116" t="str">
            <v>Korejská lidově demokratická republika</v>
          </cell>
          <cell r="Q116" t="str">
            <v>Zpracování a konzervování ovoce a zeleniny</v>
          </cell>
        </row>
        <row r="117">
          <cell r="H117" t="str">
            <v>TRUTNOV</v>
          </cell>
          <cell r="J117" t="str">
            <v>Korejská republika</v>
          </cell>
          <cell r="Q117" t="str">
            <v>Výroba rostlinných a živočišných olejů a tuků</v>
          </cell>
        </row>
        <row r="118">
          <cell r="H118" t="str">
            <v>VRCHLABÍ</v>
          </cell>
          <cell r="J118" t="str">
            <v>Kosovská republika</v>
          </cell>
          <cell r="Q118" t="str">
            <v>Výroba mléčných výrobků</v>
          </cell>
        </row>
        <row r="119">
          <cell r="H119" t="str">
            <v>PARDUBICE</v>
          </cell>
          <cell r="J119" t="str">
            <v>Kostarická republika</v>
          </cell>
          <cell r="Q119" t="str">
            <v>Výroba mlýnských a škrobárenských výrobků</v>
          </cell>
        </row>
        <row r="120">
          <cell r="H120" t="str">
            <v>HLINSKO</v>
          </cell>
          <cell r="J120" t="str">
            <v>Kubánská republika</v>
          </cell>
          <cell r="Q120" t="str">
            <v>Výroba pekařských, cukrářských a jiných moučných výrobků</v>
          </cell>
        </row>
        <row r="121">
          <cell r="H121" t="str">
            <v>HOLICE</v>
          </cell>
          <cell r="J121" t="str">
            <v>Kuvajtský stát</v>
          </cell>
          <cell r="Q121" t="str">
            <v>Výroba ostatních potravinářských výrobků</v>
          </cell>
        </row>
        <row r="122">
          <cell r="H122" t="str">
            <v>CHRUDIM</v>
          </cell>
          <cell r="J122" t="str">
            <v>Kyperská republika</v>
          </cell>
          <cell r="Q122" t="str">
            <v>Výroba průmyslových krmiv</v>
          </cell>
        </row>
        <row r="123">
          <cell r="H123" t="str">
            <v>LITOMYŠL</v>
          </cell>
          <cell r="J123" t="str">
            <v>Kyrgyzská republika</v>
          </cell>
          <cell r="Q123" t="str">
            <v>Pěstování obilovin (kromě rýže), luštěnin a olejnatých semen</v>
          </cell>
        </row>
        <row r="124">
          <cell r="H124" t="str">
            <v>MORAVSKÁ TŘEBOVÁ</v>
          </cell>
          <cell r="J124" t="str">
            <v>Laoská lidově demokratická republika</v>
          </cell>
          <cell r="Q124" t="str">
            <v>Pěstování rýže</v>
          </cell>
        </row>
        <row r="125">
          <cell r="H125" t="str">
            <v>PŘELOUČ</v>
          </cell>
          <cell r="J125" t="str">
            <v>Lesothské království</v>
          </cell>
          <cell r="Q125" t="str">
            <v>Pěstování zeleniny a melounů, kořenů a hlíz</v>
          </cell>
        </row>
        <row r="126">
          <cell r="H126" t="str">
            <v>SVITAVY</v>
          </cell>
          <cell r="J126" t="str">
            <v>Libanonská republika</v>
          </cell>
          <cell r="Q126" t="str">
            <v>Pěstování tabáku</v>
          </cell>
        </row>
        <row r="127">
          <cell r="H127" t="str">
            <v>ÚSTÍ NAD ORLICÍ</v>
          </cell>
          <cell r="J127" t="str">
            <v>Liberijská republika</v>
          </cell>
          <cell r="Q127" t="str">
            <v>Pěstování přadných rostlin</v>
          </cell>
        </row>
        <row r="128">
          <cell r="H128" t="str">
            <v>VYSOKÉ MÝTO</v>
          </cell>
          <cell r="J128" t="str">
            <v>Libyjský stát</v>
          </cell>
          <cell r="Q128" t="str">
            <v>Pěstování ostatních plodin jiných než trvalých</v>
          </cell>
        </row>
        <row r="129">
          <cell r="H129" t="str">
            <v>ŽAMBERK</v>
          </cell>
          <cell r="J129" t="str">
            <v>Lichtenštejnské knížectví</v>
          </cell>
          <cell r="Q129" t="str">
            <v>Pěstování vinných hroznů</v>
          </cell>
        </row>
        <row r="130">
          <cell r="H130" t="str">
            <v>JIHLAVA</v>
          </cell>
          <cell r="J130" t="str">
            <v>Litevská republika</v>
          </cell>
          <cell r="Q130" t="str">
            <v>Pěstování tropického a subtropického ovoce</v>
          </cell>
        </row>
        <row r="131">
          <cell r="H131" t="str">
            <v>BYSTŘICE NAD PERN.</v>
          </cell>
          <cell r="J131" t="str">
            <v>Lotyšská republika</v>
          </cell>
          <cell r="Q131" t="str">
            <v>Pěstování citrusových plodů</v>
          </cell>
        </row>
        <row r="132">
          <cell r="H132" t="str">
            <v>HAVLÍČKŮV BROD</v>
          </cell>
          <cell r="J132" t="str">
            <v>Lucemburské velkovévodství</v>
          </cell>
          <cell r="Q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row>
        <row r="134">
          <cell r="H134" t="str">
            <v>CHOTĚBOŘ</v>
          </cell>
          <cell r="J134" t="str">
            <v>Madagaskarská republika</v>
          </cell>
          <cell r="Q134" t="str">
            <v>Pěstování olejnatých plodů</v>
          </cell>
        </row>
        <row r="135">
          <cell r="H135" t="str">
            <v>LEDEČ NAD SÁZAVOU</v>
          </cell>
          <cell r="J135" t="str">
            <v>Maďarsko</v>
          </cell>
          <cell r="Q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row>
        <row r="137">
          <cell r="H137" t="str">
            <v>NÁMĚŠŤ NAD OSLAVOU</v>
          </cell>
          <cell r="J137" t="str">
            <v>Malajsie</v>
          </cell>
          <cell r="Q137" t="str">
            <v>Pěstování ostatních trvalých plodin</v>
          </cell>
        </row>
        <row r="138">
          <cell r="H138" t="str">
            <v>PACOV</v>
          </cell>
          <cell r="J138" t="str">
            <v>Malawiská republika</v>
          </cell>
          <cell r="Q138" t="str">
            <v>Úprava a spřádání textilních vláken a příze</v>
          </cell>
        </row>
        <row r="139">
          <cell r="H139" t="str">
            <v>PELHŘIMOV</v>
          </cell>
          <cell r="J139" t="str">
            <v>Maledivská republika</v>
          </cell>
          <cell r="Q139" t="str">
            <v>Tkaní textilií</v>
          </cell>
        </row>
        <row r="140">
          <cell r="H140" t="str">
            <v>TELČ</v>
          </cell>
          <cell r="J140" t="str">
            <v>Republika Mali</v>
          </cell>
          <cell r="Q140" t="str">
            <v>Konečná úprava textilií</v>
          </cell>
        </row>
        <row r="141">
          <cell r="H141" t="str">
            <v>TŘEBÍČ</v>
          </cell>
          <cell r="J141" t="str">
            <v>Maltská republika</v>
          </cell>
          <cell r="Q141" t="str">
            <v>Výroba ostatních textilií</v>
          </cell>
        </row>
        <row r="142">
          <cell r="H142" t="str">
            <v>VELKÉ MEZIŘÍČÍ</v>
          </cell>
          <cell r="J142" t="str">
            <v>Ostrov Man</v>
          </cell>
          <cell r="Q142" t="str">
            <v>Pěstování cukrové třtiny</v>
          </cell>
        </row>
        <row r="143">
          <cell r="H143" t="str">
            <v>ŽĎÁR NAD SÁZAVOU</v>
          </cell>
          <cell r="J143" t="str">
            <v>Marocké království</v>
          </cell>
          <cell r="Q143" t="str">
            <v>Výroba oděvů, kromě kožešinových výrobků</v>
          </cell>
        </row>
        <row r="144">
          <cell r="H144" t="str">
            <v>BRNO I</v>
          </cell>
          <cell r="J144" t="str">
            <v>Republika Marshallovy ostrovy</v>
          </cell>
          <cell r="Q144" t="str">
            <v>Chov mléčného skotu</v>
          </cell>
        </row>
        <row r="145">
          <cell r="H145" t="str">
            <v>BRNO II</v>
          </cell>
          <cell r="J145" t="str">
            <v>Region Martinik</v>
          </cell>
          <cell r="Q145" t="str">
            <v>Výroba kožešinových výrobků</v>
          </cell>
        </row>
        <row r="146">
          <cell r="H146" t="str">
            <v>BRNO III</v>
          </cell>
          <cell r="J146" t="str">
            <v>Mauricijská republika</v>
          </cell>
          <cell r="Q146" t="str">
            <v>Chov jiného skotu</v>
          </cell>
        </row>
        <row r="147">
          <cell r="H147" t="str">
            <v>BRNO IV</v>
          </cell>
          <cell r="J147" t="str">
            <v>Mauritánská islámská republika</v>
          </cell>
          <cell r="Q147" t="str">
            <v>Výroba pletených a háčkovaných oděvů</v>
          </cell>
        </row>
        <row r="148">
          <cell r="H148" t="str">
            <v>BRNO VENKOV</v>
          </cell>
          <cell r="J148" t="str">
            <v>Departementní společenství Mayotte</v>
          </cell>
          <cell r="Q148" t="str">
            <v>Chov koní a jiných koňovitých</v>
          </cell>
        </row>
        <row r="149">
          <cell r="H149" t="str">
            <v>BLANSKO</v>
          </cell>
          <cell r="J149" t="str">
            <v>Menší odlehlé ostrovy USA</v>
          </cell>
          <cell r="Q149" t="str">
            <v>Chov velbloudů a velbloudovitých</v>
          </cell>
        </row>
        <row r="150">
          <cell r="H150" t="str">
            <v>BOSKOVICE</v>
          </cell>
          <cell r="J150" t="str">
            <v>Spojené státy mexické</v>
          </cell>
          <cell r="Q150" t="str">
            <v>Chov ovcí a koz</v>
          </cell>
        </row>
        <row r="151">
          <cell r="H151" t="str">
            <v>BŘECLAV</v>
          </cell>
          <cell r="J151" t="str">
            <v>Federativní státy Mikronésie</v>
          </cell>
          <cell r="Q151" t="str">
            <v>Chov prasat</v>
          </cell>
        </row>
        <row r="152">
          <cell r="H152" t="str">
            <v>BUČOVICE</v>
          </cell>
          <cell r="J152" t="str">
            <v>Moldavská republika</v>
          </cell>
          <cell r="Q152" t="str">
            <v>Chov drůbeže</v>
          </cell>
        </row>
        <row r="153">
          <cell r="H153" t="str">
            <v>HODONÍN</v>
          </cell>
          <cell r="J153" t="str">
            <v>Monacké knížectví</v>
          </cell>
          <cell r="Q153" t="str">
            <v>Chov ostatních zvířat</v>
          </cell>
        </row>
        <row r="154">
          <cell r="H154" t="str">
            <v>HUSTOPEČE</v>
          </cell>
          <cell r="J154" t="str">
            <v>Mongolsko</v>
          </cell>
          <cell r="Q154" t="str">
            <v>Činění a úprava usní (vyčiněných kůží); zpracování a barvení kožešin; výrob</v>
          </cell>
        </row>
        <row r="155">
          <cell r="H155" t="str">
            <v>IVANČICE</v>
          </cell>
          <cell r="J155" t="str">
            <v>Montserrat</v>
          </cell>
          <cell r="Q155" t="str">
            <v>Výroba obuvi</v>
          </cell>
        </row>
        <row r="156">
          <cell r="H156" t="str">
            <v>KYJOV</v>
          </cell>
          <cell r="J156" t="str">
            <v>Mosambická republika</v>
          </cell>
          <cell r="Q156" t="str">
            <v>Výroba pilařská a impregnace dřeva</v>
          </cell>
        </row>
        <row r="157">
          <cell r="H157" t="str">
            <v>MIKULOV</v>
          </cell>
          <cell r="J157" t="str">
            <v>Republika Myanmarský svaz</v>
          </cell>
          <cell r="Q157" t="str">
            <v>Podpůrné činnosti pro rostlinnou výrobu</v>
          </cell>
        </row>
        <row r="158">
          <cell r="H158" t="str">
            <v>MORAVSKÝ KRUMLOV</v>
          </cell>
          <cell r="J158" t="str">
            <v>Namibijská republika</v>
          </cell>
          <cell r="Q158" t="str">
            <v>Výroba dřevěných,korkových,proutěných a slaměných výrobků,kromě nábytku</v>
          </cell>
        </row>
        <row r="159">
          <cell r="H159" t="str">
            <v>SLAVKOV U BRNA</v>
          </cell>
          <cell r="J159" t="str">
            <v>Republika Nauru</v>
          </cell>
          <cell r="Q159" t="str">
            <v>Podpůrné činnosti pro živočišnou výrobu</v>
          </cell>
        </row>
        <row r="160">
          <cell r="H160" t="str">
            <v>TIŠNOV</v>
          </cell>
          <cell r="J160" t="str">
            <v>Spolková republika Německo</v>
          </cell>
          <cell r="Q160" t="str">
            <v>Posklizňové činnosti</v>
          </cell>
        </row>
        <row r="161">
          <cell r="H161" t="str">
            <v>VESELÍ NAD MORAVOU</v>
          </cell>
          <cell r="J161" t="str">
            <v>Nepálská federativní demokratická republika</v>
          </cell>
          <cell r="Q161" t="str">
            <v>Zpracování osiva pro účely množení</v>
          </cell>
        </row>
        <row r="162">
          <cell r="H162" t="str">
            <v>VYŠKOV</v>
          </cell>
          <cell r="J162" t="str">
            <v>Nigerská republika</v>
          </cell>
          <cell r="Q162" t="str">
            <v>Výroba buničiny, papíru a lepenky</v>
          </cell>
        </row>
        <row r="163">
          <cell r="H163" t="str">
            <v>ZNOJMO</v>
          </cell>
          <cell r="J163" t="str">
            <v>Nigerijská federativní republika</v>
          </cell>
          <cell r="Q163" t="str">
            <v>Výroba výrobků z papíru a lepenky</v>
          </cell>
        </row>
        <row r="164">
          <cell r="H164" t="str">
            <v>OLOMOUC</v>
          </cell>
          <cell r="J164" t="str">
            <v>Nikaragujská republika</v>
          </cell>
          <cell r="Q164" t="str">
            <v>Tisk a činnosti související s tiskem</v>
          </cell>
        </row>
        <row r="165">
          <cell r="H165" t="str">
            <v>HRANICE</v>
          </cell>
          <cell r="J165" t="str">
            <v>Niue</v>
          </cell>
          <cell r="Q165" t="str">
            <v>Rozmnožování nahraných nosičů</v>
          </cell>
        </row>
        <row r="166">
          <cell r="H166" t="str">
            <v>JESENÍK</v>
          </cell>
          <cell r="J166" t="str">
            <v>Nizozemsko</v>
          </cell>
          <cell r="Q166" t="str">
            <v>Výroba koksárenských produktů</v>
          </cell>
        </row>
        <row r="167">
          <cell r="H167" t="str">
            <v>KONICE</v>
          </cell>
          <cell r="J167" t="str">
            <v>Území Norfolk</v>
          </cell>
          <cell r="Q167" t="str">
            <v>Výroba rafinovaných ropných produktů</v>
          </cell>
        </row>
        <row r="168">
          <cell r="H168" t="str">
            <v>LITOVEL</v>
          </cell>
          <cell r="J168" t="str">
            <v>Norské království</v>
          </cell>
          <cell r="Q168" t="str">
            <v>Výroba zákl.chem.látek,hnojiv a dusík.sl.,plastů a synt.kaučuku v prim.f.</v>
          </cell>
        </row>
        <row r="169">
          <cell r="H169" t="str">
            <v>PROSTĚJOV</v>
          </cell>
          <cell r="J169" t="str">
            <v>Nová Kaledonie</v>
          </cell>
          <cell r="Q169" t="str">
            <v>Výroba pesticidů a jiných agrochemických přípravků</v>
          </cell>
        </row>
        <row r="170">
          <cell r="H170" t="str">
            <v>PŘEROV</v>
          </cell>
          <cell r="J170" t="str">
            <v>Nový Zéland</v>
          </cell>
          <cell r="Q170" t="str">
            <v>Výroba nátěr.barev,laků a jiných nátěrových mater.,tisk.barev a tmelů</v>
          </cell>
        </row>
        <row r="171">
          <cell r="H171" t="str">
            <v>ŠTERNBERK</v>
          </cell>
          <cell r="J171" t="str">
            <v>Sultanát Omán</v>
          </cell>
          <cell r="Q171" t="str">
            <v>Výroba mýdel a detergentů,čist.a lešticích prostř.,parfémů a toal. přípr.</v>
          </cell>
        </row>
        <row r="172">
          <cell r="H172" t="str">
            <v>ŠUMPERK</v>
          </cell>
          <cell r="J172" t="str">
            <v>Pákistánská islámská republika</v>
          </cell>
          <cell r="Q172" t="str">
            <v>Výroba ostatních chemických výrobků</v>
          </cell>
        </row>
        <row r="173">
          <cell r="H173" t="str">
            <v>ZÁBŘEH</v>
          </cell>
          <cell r="J173" t="str">
            <v>Republika Palau</v>
          </cell>
          <cell r="Q173" t="str">
            <v>Výroba chemických vláken</v>
          </cell>
        </row>
        <row r="174">
          <cell r="H174" t="str">
            <v>OSTRAVA I</v>
          </cell>
          <cell r="J174" t="str">
            <v>Palestinská autonomní území</v>
          </cell>
          <cell r="Q174" t="str">
            <v>Výroba základních farmaceutických výrobků</v>
          </cell>
        </row>
        <row r="175">
          <cell r="H175" t="str">
            <v>OSTRAVA II</v>
          </cell>
          <cell r="J175" t="str">
            <v>Panamská republika</v>
          </cell>
          <cell r="Q175" t="str">
            <v>Výroba farmaceutických přípravků</v>
          </cell>
        </row>
        <row r="176">
          <cell r="H176" t="str">
            <v>OSTRAVA III</v>
          </cell>
          <cell r="J176" t="str">
            <v>Nezávislý stát Papua Nová Guinea</v>
          </cell>
          <cell r="Q176" t="str">
            <v>Výroba pryžových výrobků</v>
          </cell>
        </row>
        <row r="177">
          <cell r="H177" t="str">
            <v>BOHUMÍN</v>
          </cell>
          <cell r="J177" t="str">
            <v>Paraguayská republika</v>
          </cell>
          <cell r="Q177" t="str">
            <v>Výroba plastových výrobků</v>
          </cell>
        </row>
        <row r="178">
          <cell r="H178" t="str">
            <v>BRUNTÁL</v>
          </cell>
          <cell r="J178" t="str">
            <v>Peruánská republika</v>
          </cell>
          <cell r="Q178" t="str">
            <v>Výroba skla a skleněných výrobků</v>
          </cell>
        </row>
        <row r="179">
          <cell r="H179" t="str">
            <v>ČESKÝ TĚŠÍN</v>
          </cell>
          <cell r="J179" t="str">
            <v>Pitcairnovy ostrovy</v>
          </cell>
          <cell r="Q179" t="str">
            <v>Výroba žáruvzdorných výrobků</v>
          </cell>
        </row>
        <row r="180">
          <cell r="H180" t="str">
            <v>FRÝDEK-MÍSTEK</v>
          </cell>
          <cell r="J180" t="str">
            <v>Republika Pobřeží slonoviny</v>
          </cell>
          <cell r="Q180" t="str">
            <v>Výroba stavebních výrobků z jílovitých materiálů</v>
          </cell>
        </row>
        <row r="181">
          <cell r="H181" t="str">
            <v>FRÝDLANT NAD OSTRAV.</v>
          </cell>
          <cell r="J181" t="str">
            <v>Polská republika</v>
          </cell>
          <cell r="Q181" t="str">
            <v>Výroba ostatních porcelánových a keramických výrobků</v>
          </cell>
        </row>
        <row r="182">
          <cell r="H182" t="str">
            <v>FULNEK</v>
          </cell>
          <cell r="J182" t="str">
            <v>Portorické společenství</v>
          </cell>
          <cell r="Q182" t="str">
            <v>Výroba cementu, vápna a sádry</v>
          </cell>
        </row>
        <row r="183">
          <cell r="H183" t="str">
            <v>HAVÍŘOV</v>
          </cell>
          <cell r="J183" t="str">
            <v>Portugalská republika</v>
          </cell>
          <cell r="Q183" t="str">
            <v>Výroba betonových, cementových a sádrových výrobků</v>
          </cell>
        </row>
        <row r="184">
          <cell r="H184" t="str">
            <v>HLUČÍN</v>
          </cell>
          <cell r="J184" t="str">
            <v>Rakouská republika</v>
          </cell>
          <cell r="Q184" t="str">
            <v>Řezání, tvarování a konečná úprava kamenů</v>
          </cell>
        </row>
        <row r="185">
          <cell r="H185" t="str">
            <v>KARVINÁ</v>
          </cell>
          <cell r="J185" t="str">
            <v>Region Réunion</v>
          </cell>
          <cell r="Q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row>
        <row r="187">
          <cell r="H187" t="str">
            <v>KRNOV</v>
          </cell>
          <cell r="J187" t="str">
            <v>Rumunsko</v>
          </cell>
          <cell r="Q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row>
        <row r="189">
          <cell r="H189" t="str">
            <v>OPAVA</v>
          </cell>
          <cell r="J189" t="str">
            <v>Rwandská republika</v>
          </cell>
          <cell r="Q189" t="str">
            <v>Výroba a hutní zpracování drahých a neželezných kovů</v>
          </cell>
        </row>
        <row r="190">
          <cell r="H190" t="str">
            <v>ORLOVÁ</v>
          </cell>
          <cell r="J190" t="str">
            <v>Řecká republika</v>
          </cell>
          <cell r="Q190" t="str">
            <v>Slévárenství</v>
          </cell>
        </row>
        <row r="191">
          <cell r="H191" t="str">
            <v>TŘINEC</v>
          </cell>
          <cell r="J191" t="str">
            <v>Územní společenství Saint Pierre a Miquelon</v>
          </cell>
          <cell r="Q191" t="str">
            <v>Výroba konstrukčních kovových výrobků</v>
          </cell>
        </row>
        <row r="192">
          <cell r="H192" t="str">
            <v>ZLÍN</v>
          </cell>
          <cell r="J192" t="str">
            <v>Salvadorská republika</v>
          </cell>
          <cell r="Q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row>
        <row r="194">
          <cell r="H194" t="str">
            <v>HOLEŠOV</v>
          </cell>
          <cell r="J194" t="str">
            <v>Republika San Marino</v>
          </cell>
          <cell r="Q194" t="str">
            <v>Výroba zbraní a střeliva</v>
          </cell>
        </row>
        <row r="195">
          <cell r="H195" t="str">
            <v>KROMĚŘÍŽ</v>
          </cell>
          <cell r="J195" t="str">
            <v>Království Saúdská Arábie</v>
          </cell>
          <cell r="Q195" t="str">
            <v>Kování,lisování,ražení,válcování a protlačování kovů;prášková metalurgie</v>
          </cell>
        </row>
        <row r="196">
          <cell r="H196" t="str">
            <v>LUHAČOVICE</v>
          </cell>
          <cell r="J196" t="str">
            <v>Senegalská republika</v>
          </cell>
          <cell r="Q196" t="str">
            <v>Povrchová úprava a zušlechťování kovů; obrábění</v>
          </cell>
        </row>
        <row r="197">
          <cell r="H197" t="str">
            <v>OTROKOVICE</v>
          </cell>
          <cell r="J197" t="str">
            <v>Společenství Severní Mariany</v>
          </cell>
          <cell r="Q197" t="str">
            <v>Výroba nožířských výrobků, nástrojů a železářských výrobků</v>
          </cell>
        </row>
        <row r="198">
          <cell r="H198" t="str">
            <v>ROŽNOV POD RADH.</v>
          </cell>
          <cell r="J198" t="str">
            <v>Seychelská republika</v>
          </cell>
          <cell r="Q198" t="str">
            <v>Výroba ostatních kovodělných výrobků</v>
          </cell>
        </row>
        <row r="199">
          <cell r="H199" t="str">
            <v>UHERSKÝ BROD</v>
          </cell>
          <cell r="J199" t="str">
            <v>Republika Sierra Leone</v>
          </cell>
          <cell r="Q199" t="str">
            <v>Výroba elektronických součástek a desek</v>
          </cell>
        </row>
        <row r="200">
          <cell r="H200" t="str">
            <v>UHERSKÉ HRADIŠTĚ</v>
          </cell>
          <cell r="J200" t="str">
            <v>Singapurská republika</v>
          </cell>
          <cell r="Q200" t="str">
            <v>Výroba počítačů a periferních zařízení</v>
          </cell>
        </row>
        <row r="201">
          <cell r="H201" t="str">
            <v>VALAŠSKÉ MEZIŘÍČÍ</v>
          </cell>
          <cell r="J201" t="str">
            <v>Slovenská republika</v>
          </cell>
          <cell r="Q201" t="str">
            <v>Výroba komunikačních zařízení</v>
          </cell>
        </row>
        <row r="202">
          <cell r="H202" t="str">
            <v>VALAŠSKÉ KLOBOUKY</v>
          </cell>
          <cell r="J202" t="str">
            <v>Slovinská republika</v>
          </cell>
          <cell r="Q202" t="str">
            <v>Výroba spotřební elektroniky</v>
          </cell>
        </row>
        <row r="203">
          <cell r="H203" t="str">
            <v>VSETÍN</v>
          </cell>
          <cell r="J203" t="str">
            <v>Somálská federativní republika</v>
          </cell>
          <cell r="Q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t="str">
            <v/>
          </cell>
        </row>
        <row r="994">
          <cell r="Q994" t="str">
            <v/>
          </cell>
        </row>
        <row r="995">
          <cell r="Q995" t="str">
            <v/>
          </cell>
        </row>
        <row r="996">
          <cell r="Q996" t="str">
            <v/>
          </cell>
        </row>
        <row r="997">
          <cell r="Q997" t="str">
            <v/>
          </cell>
        </row>
        <row r="998">
          <cell r="Q998" t="str">
            <v/>
          </cell>
        </row>
        <row r="999">
          <cell r="Q999" t="str">
            <v/>
          </cell>
        </row>
        <row r="1000">
          <cell r="Q1000" t="str">
            <v/>
          </cell>
        </row>
        <row r="1001">
          <cell r="Q1001" t="str">
            <v/>
          </cell>
        </row>
        <row r="1002">
          <cell r="Q1002" t="str">
            <v/>
          </cell>
        </row>
        <row r="1003">
          <cell r="Q1003" t="str">
            <v/>
          </cell>
        </row>
        <row r="1004">
          <cell r="Q1004" t="str">
            <v/>
          </cell>
        </row>
        <row r="1005">
          <cell r="Q1005" t="str">
            <v/>
          </cell>
        </row>
        <row r="1006">
          <cell r="Q1006" t="str">
            <v/>
          </cell>
        </row>
        <row r="1007">
          <cell r="Q1007" t="str">
            <v/>
          </cell>
        </row>
        <row r="1008">
          <cell r="Q1008" t="str">
            <v/>
          </cell>
        </row>
        <row r="1009">
          <cell r="Q1009" t="str">
            <v/>
          </cell>
        </row>
        <row r="1010">
          <cell r="Q1010" t="str">
            <v/>
          </cell>
        </row>
        <row r="1011">
          <cell r="Q1011" t="str">
            <v/>
          </cell>
        </row>
        <row r="1012">
          <cell r="Q1012" t="str">
            <v/>
          </cell>
        </row>
        <row r="1013">
          <cell r="Q1013" t="str">
            <v/>
          </cell>
        </row>
        <row r="1014">
          <cell r="Q1014" t="str">
            <v/>
          </cell>
        </row>
        <row r="1015">
          <cell r="Q1015" t="str">
            <v/>
          </cell>
        </row>
        <row r="1016">
          <cell r="Q1016" t="str">
            <v/>
          </cell>
        </row>
        <row r="1017">
          <cell r="Q1017" t="str">
            <v/>
          </cell>
        </row>
        <row r="1018">
          <cell r="Q1018" t="str">
            <v/>
          </cell>
        </row>
        <row r="1019">
          <cell r="Q1019" t="str">
            <v/>
          </cell>
        </row>
        <row r="1020">
          <cell r="Q1020" t="str">
            <v/>
          </cell>
        </row>
        <row r="1021">
          <cell r="Q1021" t="str">
            <v/>
          </cell>
        </row>
        <row r="1022">
          <cell r="Q1022" t="str">
            <v/>
          </cell>
        </row>
        <row r="1023">
          <cell r="Q1023" t="str">
            <v/>
          </cell>
        </row>
        <row r="1024">
          <cell r="Q1024" t="str">
            <v/>
          </cell>
        </row>
        <row r="1025">
          <cell r="Q1025" t="str">
            <v/>
          </cell>
        </row>
        <row r="1026">
          <cell r="Q1026" t="str">
            <v/>
          </cell>
        </row>
        <row r="1027">
          <cell r="Q1027" t="str">
            <v/>
          </cell>
        </row>
        <row r="1028">
          <cell r="Q1028" t="str">
            <v/>
          </cell>
        </row>
        <row r="1029">
          <cell r="Q1029" t="str">
            <v/>
          </cell>
        </row>
        <row r="1030">
          <cell r="Q1030" t="str">
            <v/>
          </cell>
        </row>
        <row r="1031">
          <cell r="Q1031" t="str">
            <v/>
          </cell>
        </row>
        <row r="1032">
          <cell r="Q1032" t="str">
            <v/>
          </cell>
        </row>
        <row r="1033">
          <cell r="Q1033" t="str">
            <v/>
          </cell>
        </row>
        <row r="1034">
          <cell r="Q1034" t="str">
            <v/>
          </cell>
        </row>
        <row r="1035">
          <cell r="Q1035" t="str">
            <v/>
          </cell>
        </row>
        <row r="1036">
          <cell r="Q1036" t="str">
            <v/>
          </cell>
        </row>
        <row r="1037">
          <cell r="Q1037" t="str">
            <v/>
          </cell>
        </row>
        <row r="1038">
          <cell r="Q1038" t="str">
            <v/>
          </cell>
        </row>
        <row r="1039">
          <cell r="Q1039" t="str">
            <v/>
          </cell>
        </row>
        <row r="1040">
          <cell r="Q1040" t="str">
            <v/>
          </cell>
        </row>
        <row r="1041">
          <cell r="Q1041" t="str">
            <v/>
          </cell>
        </row>
        <row r="1042">
          <cell r="Q1042" t="str">
            <v/>
          </cell>
        </row>
        <row r="1043">
          <cell r="Q1043" t="str">
            <v/>
          </cell>
        </row>
        <row r="1044">
          <cell r="Q1044" t="str">
            <v/>
          </cell>
        </row>
        <row r="1045">
          <cell r="Q1045" t="str">
            <v/>
          </cell>
        </row>
        <row r="1046">
          <cell r="Q1046" t="str">
            <v/>
          </cell>
        </row>
        <row r="1047">
          <cell r="Q1047" t="str">
            <v/>
          </cell>
        </row>
        <row r="1048">
          <cell r="Q1048" t="str">
            <v/>
          </cell>
        </row>
        <row r="1049">
          <cell r="Q1049" t="str">
            <v/>
          </cell>
        </row>
        <row r="1050">
          <cell r="Q1050" t="str">
            <v/>
          </cell>
        </row>
        <row r="1051">
          <cell r="Q1051" t="str">
            <v/>
          </cell>
        </row>
        <row r="1052">
          <cell r="Q1052" t="str">
            <v/>
          </cell>
        </row>
        <row r="1053">
          <cell r="Q1053" t="str">
            <v/>
          </cell>
        </row>
        <row r="1054">
          <cell r="Q1054" t="str">
            <v/>
          </cell>
        </row>
        <row r="1055">
          <cell r="Q1055" t="str">
            <v/>
          </cell>
        </row>
        <row r="1056">
          <cell r="Q1056" t="str">
            <v/>
          </cell>
        </row>
        <row r="1057">
          <cell r="Q1057" t="str">
            <v/>
          </cell>
        </row>
        <row r="1058">
          <cell r="Q1058" t="str">
            <v/>
          </cell>
        </row>
        <row r="1059">
          <cell r="Q1059" t="str">
            <v/>
          </cell>
        </row>
        <row r="1060">
          <cell r="Q1060" t="str">
            <v/>
          </cell>
        </row>
        <row r="1061">
          <cell r="Q1061" t="str">
            <v/>
          </cell>
        </row>
        <row r="1062">
          <cell r="Q1062" t="str">
            <v/>
          </cell>
        </row>
        <row r="1063">
          <cell r="Q1063" t="str">
            <v/>
          </cell>
        </row>
        <row r="1064">
          <cell r="Q1064" t="str">
            <v/>
          </cell>
        </row>
        <row r="1065">
          <cell r="Q1065" t="str">
            <v/>
          </cell>
        </row>
        <row r="1066">
          <cell r="Q1066" t="str">
            <v/>
          </cell>
        </row>
        <row r="1067">
          <cell r="Q1067" t="str">
            <v/>
          </cell>
        </row>
        <row r="1068">
          <cell r="Q1068" t="str">
            <v/>
          </cell>
        </row>
        <row r="1069">
          <cell r="Q1069" t="str">
            <v/>
          </cell>
        </row>
        <row r="1070">
          <cell r="Q1070" t="str">
            <v/>
          </cell>
        </row>
        <row r="1071">
          <cell r="Q1071" t="str">
            <v/>
          </cell>
        </row>
        <row r="1072">
          <cell r="Q1072" t="str">
            <v/>
          </cell>
        </row>
        <row r="1073">
          <cell r="Q1073" t="str">
            <v/>
          </cell>
        </row>
        <row r="1074">
          <cell r="Q1074" t="str">
            <v/>
          </cell>
        </row>
        <row r="1075">
          <cell r="Q1075" t="str">
            <v/>
          </cell>
        </row>
        <row r="1076">
          <cell r="Q1076" t="str">
            <v/>
          </cell>
        </row>
        <row r="1077">
          <cell r="Q1077" t="str">
            <v/>
          </cell>
        </row>
        <row r="1078">
          <cell r="Q1078" t="str">
            <v/>
          </cell>
        </row>
        <row r="1079">
          <cell r="Q1079" t="str">
            <v/>
          </cell>
        </row>
        <row r="1080">
          <cell r="Q1080" t="str">
            <v/>
          </cell>
        </row>
        <row r="1081">
          <cell r="Q1081" t="str">
            <v/>
          </cell>
        </row>
        <row r="1082">
          <cell r="Q1082" t="str">
            <v/>
          </cell>
        </row>
        <row r="1083">
          <cell r="Q1083" t="str">
            <v/>
          </cell>
        </row>
        <row r="1084">
          <cell r="Q1084" t="str">
            <v/>
          </cell>
        </row>
        <row r="1085">
          <cell r="Q1085" t="str">
            <v/>
          </cell>
        </row>
        <row r="1086">
          <cell r="Q1086" t="str">
            <v/>
          </cell>
        </row>
        <row r="1087">
          <cell r="Q1087" t="str">
            <v/>
          </cell>
        </row>
        <row r="1088">
          <cell r="Q1088" t="str">
            <v/>
          </cell>
        </row>
        <row r="1089">
          <cell r="Q1089" t="str">
            <v/>
          </cell>
        </row>
        <row r="1090">
          <cell r="Q1090" t="str">
            <v/>
          </cell>
        </row>
        <row r="1091">
          <cell r="Q1091" t="str">
            <v/>
          </cell>
        </row>
        <row r="1092">
          <cell r="Q1092" t="str">
            <v/>
          </cell>
        </row>
        <row r="1093">
          <cell r="Q1093" t="str">
            <v/>
          </cell>
        </row>
        <row r="1094">
          <cell r="Q1094" t="str">
            <v/>
          </cell>
        </row>
        <row r="1095">
          <cell r="Q1095" t="str">
            <v/>
          </cell>
        </row>
        <row r="1096">
          <cell r="Q1096" t="str">
            <v/>
          </cell>
        </row>
        <row r="1097">
          <cell r="Q1097" t="str">
            <v/>
          </cell>
        </row>
        <row r="1098">
          <cell r="Q1098" t="str">
            <v/>
          </cell>
        </row>
        <row r="1099">
          <cell r="Q1099" t="str">
            <v/>
          </cell>
        </row>
        <row r="1100">
          <cell r="Q1100" t="str">
            <v/>
          </cell>
        </row>
        <row r="1101">
          <cell r="Q1101" t="str">
            <v/>
          </cell>
        </row>
        <row r="1102">
          <cell r="Q1102" t="str">
            <v/>
          </cell>
        </row>
        <row r="1103">
          <cell r="Q1103" t="str">
            <v/>
          </cell>
        </row>
        <row r="1104">
          <cell r="Q1104" t="str">
            <v/>
          </cell>
        </row>
        <row r="1105">
          <cell r="Q1105" t="str">
            <v/>
          </cell>
        </row>
        <row r="1106">
          <cell r="Q1106" t="str">
            <v/>
          </cell>
        </row>
        <row r="1107">
          <cell r="Q1107" t="str">
            <v/>
          </cell>
        </row>
        <row r="1108">
          <cell r="Q1108" t="str">
            <v/>
          </cell>
        </row>
        <row r="1109">
          <cell r="Q1109" t="str">
            <v/>
          </cell>
        </row>
        <row r="1110">
          <cell r="Q1110" t="str">
            <v/>
          </cell>
        </row>
        <row r="1111">
          <cell r="Q1111" t="str">
            <v/>
          </cell>
        </row>
        <row r="1112">
          <cell r="Q1112" t="str">
            <v/>
          </cell>
        </row>
        <row r="1113">
          <cell r="Q1113" t="str">
            <v/>
          </cell>
        </row>
        <row r="1114">
          <cell r="Q1114" t="str">
            <v/>
          </cell>
        </row>
        <row r="1115">
          <cell r="Q1115" t="str">
            <v/>
          </cell>
        </row>
        <row r="1116">
          <cell r="Q1116" t="str">
            <v/>
          </cell>
        </row>
        <row r="1117">
          <cell r="Q1117" t="str">
            <v/>
          </cell>
        </row>
        <row r="1118">
          <cell r="Q1118" t="str">
            <v/>
          </cell>
        </row>
        <row r="1119">
          <cell r="Q1119" t="str">
            <v/>
          </cell>
        </row>
        <row r="1120">
          <cell r="Q1120" t="str">
            <v/>
          </cell>
        </row>
        <row r="1121">
          <cell r="Q1121" t="str">
            <v/>
          </cell>
        </row>
        <row r="1122">
          <cell r="Q1122" t="str">
            <v/>
          </cell>
        </row>
        <row r="1123">
          <cell r="Q1123" t="str">
            <v/>
          </cell>
        </row>
        <row r="1124">
          <cell r="Q1124" t="str">
            <v/>
          </cell>
        </row>
        <row r="1125">
          <cell r="Q1125" t="str">
            <v/>
          </cell>
        </row>
        <row r="1126">
          <cell r="Q1126" t="str">
            <v/>
          </cell>
        </row>
        <row r="1127">
          <cell r="Q1127" t="str">
            <v/>
          </cell>
        </row>
        <row r="1128">
          <cell r="Q1128" t="str">
            <v/>
          </cell>
        </row>
        <row r="1129">
          <cell r="Q1129" t="str">
            <v/>
          </cell>
        </row>
        <row r="1130">
          <cell r="Q1130" t="str">
            <v/>
          </cell>
        </row>
        <row r="1131">
          <cell r="Q1131" t="str">
            <v/>
          </cell>
        </row>
        <row r="1132">
          <cell r="Q1132" t="str">
            <v/>
          </cell>
        </row>
        <row r="1133">
          <cell r="Q1133" t="str">
            <v/>
          </cell>
        </row>
        <row r="1134">
          <cell r="Q1134" t="str">
            <v/>
          </cell>
        </row>
        <row r="1135">
          <cell r="Q1135" t="str">
            <v/>
          </cell>
        </row>
        <row r="1136">
          <cell r="Q1136" t="str">
            <v/>
          </cell>
        </row>
        <row r="1137">
          <cell r="Q1137" t="str">
            <v/>
          </cell>
        </row>
        <row r="1138">
          <cell r="Q1138" t="str">
            <v/>
          </cell>
        </row>
        <row r="1139">
          <cell r="Q1139" t="str">
            <v/>
          </cell>
        </row>
        <row r="1140">
          <cell r="Q1140" t="str">
            <v/>
          </cell>
        </row>
        <row r="1141">
          <cell r="Q1141" t="str">
            <v/>
          </cell>
        </row>
        <row r="1142">
          <cell r="Q1142" t="str">
            <v/>
          </cell>
        </row>
        <row r="1143">
          <cell r="Q1143" t="str">
            <v/>
          </cell>
        </row>
        <row r="1144">
          <cell r="Q1144" t="str">
            <v/>
          </cell>
        </row>
        <row r="1145">
          <cell r="Q1145" t="str">
            <v/>
          </cell>
        </row>
        <row r="1146">
          <cell r="Q1146" t="str">
            <v/>
          </cell>
        </row>
        <row r="1147">
          <cell r="Q1147" t="str">
            <v/>
          </cell>
        </row>
        <row r="1148">
          <cell r="Q1148" t="str">
            <v/>
          </cell>
        </row>
        <row r="1149">
          <cell r="Q1149" t="str">
            <v/>
          </cell>
        </row>
        <row r="1150">
          <cell r="Q1150" t="str">
            <v/>
          </cell>
        </row>
        <row r="1151">
          <cell r="Q1151" t="str">
            <v/>
          </cell>
        </row>
        <row r="1152">
          <cell r="Q1152" t="str">
            <v/>
          </cell>
        </row>
        <row r="1153">
          <cell r="Q1153" t="str">
            <v/>
          </cell>
        </row>
        <row r="1154">
          <cell r="Q1154" t="str">
            <v/>
          </cell>
        </row>
        <row r="1155">
          <cell r="Q1155" t="str">
            <v/>
          </cell>
        </row>
        <row r="1156">
          <cell r="Q1156" t="str">
            <v/>
          </cell>
        </row>
        <row r="1157">
          <cell r="Q1157" t="str">
            <v/>
          </cell>
        </row>
        <row r="1158">
          <cell r="Q1158" t="str">
            <v/>
          </cell>
        </row>
        <row r="1159">
          <cell r="Q1159" t="str">
            <v/>
          </cell>
        </row>
        <row r="1160">
          <cell r="Q1160" t="str">
            <v/>
          </cell>
        </row>
        <row r="1161">
          <cell r="Q1161" t="str">
            <v/>
          </cell>
        </row>
        <row r="1162">
          <cell r="Q1162" t="str">
            <v/>
          </cell>
        </row>
        <row r="1163">
          <cell r="Q1163" t="str">
            <v/>
          </cell>
        </row>
        <row r="1164">
          <cell r="Q1164" t="str">
            <v/>
          </cell>
        </row>
        <row r="1165">
          <cell r="Q1165" t="str">
            <v/>
          </cell>
        </row>
        <row r="1166">
          <cell r="Q1166" t="str">
            <v/>
          </cell>
        </row>
        <row r="1167">
          <cell r="Q1167" t="str">
            <v/>
          </cell>
        </row>
        <row r="1168">
          <cell r="Q1168" t="str">
            <v/>
          </cell>
        </row>
        <row r="1169">
          <cell r="Q1169" t="str">
            <v/>
          </cell>
        </row>
        <row r="1170">
          <cell r="Q1170" t="str">
            <v/>
          </cell>
        </row>
        <row r="1171">
          <cell r="Q1171" t="str">
            <v/>
          </cell>
        </row>
        <row r="1172">
          <cell r="Q1172" t="str">
            <v/>
          </cell>
        </row>
        <row r="1173">
          <cell r="Q1173" t="str">
            <v/>
          </cell>
        </row>
        <row r="1174">
          <cell r="Q1174" t="str">
            <v/>
          </cell>
        </row>
        <row r="1175">
          <cell r="Q1175" t="str">
            <v/>
          </cell>
        </row>
        <row r="1176">
          <cell r="Q1176" t="str">
            <v/>
          </cell>
        </row>
        <row r="1177">
          <cell r="Q1177" t="str">
            <v/>
          </cell>
        </row>
        <row r="1178">
          <cell r="Q1178" t="str">
            <v/>
          </cell>
        </row>
        <row r="1179">
          <cell r="Q1179" t="str">
            <v/>
          </cell>
        </row>
        <row r="1180">
          <cell r="Q1180" t="str">
            <v/>
          </cell>
        </row>
        <row r="1181">
          <cell r="Q1181" t="str">
            <v/>
          </cell>
        </row>
        <row r="1182">
          <cell r="Q1182" t="str">
            <v/>
          </cell>
        </row>
        <row r="1183">
          <cell r="Q1183" t="str">
            <v/>
          </cell>
        </row>
        <row r="1184">
          <cell r="Q1184" t="str">
            <v/>
          </cell>
        </row>
        <row r="1185">
          <cell r="Q1185" t="str">
            <v/>
          </cell>
        </row>
        <row r="1186">
          <cell r="Q1186" t="str">
            <v/>
          </cell>
        </row>
        <row r="1187">
          <cell r="Q1187" t="str">
            <v/>
          </cell>
        </row>
        <row r="1188">
          <cell r="Q1188" t="str">
            <v/>
          </cell>
        </row>
        <row r="1189">
          <cell r="Q1189" t="str">
            <v/>
          </cell>
        </row>
        <row r="1190">
          <cell r="Q1190" t="str">
            <v/>
          </cell>
        </row>
        <row r="1191">
          <cell r="Q1191" t="str">
            <v/>
          </cell>
        </row>
        <row r="1192">
          <cell r="Q1192" t="str">
            <v/>
          </cell>
        </row>
        <row r="1193">
          <cell r="Q1193" t="str">
            <v/>
          </cell>
        </row>
        <row r="1194">
          <cell r="Q1194" t="str">
            <v/>
          </cell>
        </row>
        <row r="1195">
          <cell r="Q1195" t="str">
            <v/>
          </cell>
        </row>
        <row r="1196">
          <cell r="Q1196" t="str">
            <v/>
          </cell>
        </row>
        <row r="1197">
          <cell r="Q1197" t="str">
            <v/>
          </cell>
        </row>
        <row r="1198">
          <cell r="Q1198" t="str">
            <v/>
          </cell>
        </row>
        <row r="1199">
          <cell r="Q1199" t="str">
            <v/>
          </cell>
        </row>
        <row r="1200">
          <cell r="Q1200" t="str">
            <v/>
          </cell>
        </row>
        <row r="1201">
          <cell r="Q1201" t="str">
            <v/>
          </cell>
        </row>
        <row r="1202">
          <cell r="Q1202" t="str">
            <v/>
          </cell>
        </row>
        <row r="1203">
          <cell r="Q1203" t="str">
            <v/>
          </cell>
        </row>
        <row r="1204">
          <cell r="Q1204" t="str">
            <v/>
          </cell>
        </row>
        <row r="1205">
          <cell r="Q1205" t="str">
            <v/>
          </cell>
        </row>
        <row r="1206">
          <cell r="Q1206" t="str">
            <v/>
          </cell>
        </row>
        <row r="1207">
          <cell r="Q1207" t="str">
            <v/>
          </cell>
        </row>
        <row r="1208">
          <cell r="Q1208" t="str">
            <v/>
          </cell>
        </row>
        <row r="1209">
          <cell r="Q1209" t="str">
            <v/>
          </cell>
        </row>
        <row r="1210">
          <cell r="Q1210" t="str">
            <v/>
          </cell>
        </row>
        <row r="1211">
          <cell r="Q1211" t="str">
            <v/>
          </cell>
        </row>
        <row r="1212">
          <cell r="Q1212" t="str">
            <v/>
          </cell>
        </row>
        <row r="1213">
          <cell r="Q1213" t="str">
            <v/>
          </cell>
        </row>
        <row r="1214">
          <cell r="Q1214" t="str">
            <v/>
          </cell>
        </row>
        <row r="1215">
          <cell r="Q1215" t="str">
            <v/>
          </cell>
        </row>
        <row r="1216">
          <cell r="Q1216" t="str">
            <v/>
          </cell>
        </row>
        <row r="1217">
          <cell r="Q1217" t="str">
            <v/>
          </cell>
        </row>
        <row r="1218">
          <cell r="Q1218" t="str">
            <v/>
          </cell>
        </row>
        <row r="1219">
          <cell r="Q1219" t="str">
            <v/>
          </cell>
        </row>
        <row r="1220">
          <cell r="Q1220" t="str">
            <v/>
          </cell>
        </row>
        <row r="1221">
          <cell r="Q1221" t="str">
            <v/>
          </cell>
        </row>
        <row r="1222">
          <cell r="Q1222" t="str">
            <v/>
          </cell>
        </row>
        <row r="1223">
          <cell r="Q1223" t="str">
            <v/>
          </cell>
        </row>
        <row r="1224">
          <cell r="Q1224" t="str">
            <v/>
          </cell>
        </row>
        <row r="1225">
          <cell r="Q1225" t="str">
            <v/>
          </cell>
        </row>
        <row r="1226">
          <cell r="Q1226" t="str">
            <v/>
          </cell>
        </row>
        <row r="1227">
          <cell r="Q1227" t="str">
            <v/>
          </cell>
        </row>
        <row r="1228">
          <cell r="Q1228" t="str">
            <v/>
          </cell>
        </row>
        <row r="1229">
          <cell r="Q1229" t="str">
            <v/>
          </cell>
        </row>
        <row r="1230">
          <cell r="Q1230" t="str">
            <v/>
          </cell>
        </row>
        <row r="1231">
          <cell r="Q1231" t="str">
            <v/>
          </cell>
        </row>
        <row r="1232">
          <cell r="Q1232" t="str">
            <v/>
          </cell>
        </row>
        <row r="1233">
          <cell r="Q1233" t="str">
            <v/>
          </cell>
        </row>
        <row r="1234">
          <cell r="Q1234" t="str">
            <v/>
          </cell>
        </row>
        <row r="1235">
          <cell r="Q1235" t="str">
            <v/>
          </cell>
        </row>
        <row r="1236">
          <cell r="Q1236" t="str">
            <v/>
          </cell>
        </row>
        <row r="1237">
          <cell r="Q1237" t="str">
            <v/>
          </cell>
        </row>
        <row r="1238">
          <cell r="Q1238" t="str">
            <v/>
          </cell>
        </row>
        <row r="1239">
          <cell r="Q1239" t="str">
            <v/>
          </cell>
        </row>
        <row r="1240">
          <cell r="Q1240" t="str">
            <v/>
          </cell>
        </row>
        <row r="1241">
          <cell r="Q1241" t="str">
            <v/>
          </cell>
        </row>
        <row r="1242">
          <cell r="Q1242" t="str">
            <v/>
          </cell>
        </row>
        <row r="1243">
          <cell r="Q1243" t="str">
            <v/>
          </cell>
        </row>
        <row r="1244">
          <cell r="Q1244" t="str">
            <v/>
          </cell>
        </row>
        <row r="1245">
          <cell r="Q1245" t="str">
            <v/>
          </cell>
        </row>
        <row r="1246">
          <cell r="Q1246" t="str">
            <v/>
          </cell>
        </row>
        <row r="1247">
          <cell r="Q1247" t="str">
            <v/>
          </cell>
        </row>
        <row r="1248">
          <cell r="Q1248" t="str">
            <v/>
          </cell>
        </row>
        <row r="1249">
          <cell r="Q1249" t="str">
            <v/>
          </cell>
        </row>
        <row r="1250">
          <cell r="Q1250" t="str">
            <v/>
          </cell>
        </row>
        <row r="1251">
          <cell r="Q1251" t="str">
            <v/>
          </cell>
        </row>
        <row r="1252">
          <cell r="Q1252" t="str">
            <v/>
          </cell>
        </row>
        <row r="1253">
          <cell r="Q1253" t="str">
            <v/>
          </cell>
        </row>
        <row r="1254">
          <cell r="Q1254" t="str">
            <v/>
          </cell>
        </row>
        <row r="1255">
          <cell r="Q1255" t="str">
            <v/>
          </cell>
        </row>
        <row r="1256">
          <cell r="Q1256" t="str">
            <v/>
          </cell>
        </row>
        <row r="1257">
          <cell r="Q1257" t="str">
            <v/>
          </cell>
        </row>
        <row r="1258">
          <cell r="Q1258" t="str">
            <v/>
          </cell>
        </row>
        <row r="1259">
          <cell r="Q1259" t="str">
            <v/>
          </cell>
        </row>
        <row r="1260">
          <cell r="Q1260" t="str">
            <v/>
          </cell>
        </row>
        <row r="1261">
          <cell r="Q1261" t="str">
            <v/>
          </cell>
        </row>
        <row r="1262">
          <cell r="Q1262" t="str">
            <v/>
          </cell>
        </row>
        <row r="1263">
          <cell r="Q1263" t="str">
            <v/>
          </cell>
        </row>
        <row r="1264">
          <cell r="Q1264" t="str">
            <v/>
          </cell>
        </row>
        <row r="1265">
          <cell r="Q1265" t="str">
            <v/>
          </cell>
        </row>
        <row r="1266">
          <cell r="Q1266" t="str">
            <v/>
          </cell>
        </row>
        <row r="1267">
          <cell r="Q1267" t="str">
            <v/>
          </cell>
        </row>
        <row r="1268">
          <cell r="Q1268" t="str">
            <v/>
          </cell>
        </row>
        <row r="1269">
          <cell r="Q1269" t="str">
            <v/>
          </cell>
        </row>
        <row r="1270">
          <cell r="Q1270" t="str">
            <v/>
          </cell>
        </row>
        <row r="1271">
          <cell r="Q1271" t="str">
            <v/>
          </cell>
        </row>
        <row r="1272">
          <cell r="Q1272" t="str">
            <v/>
          </cell>
        </row>
        <row r="1273">
          <cell r="Q1273" t="str">
            <v/>
          </cell>
        </row>
        <row r="1274">
          <cell r="Q1274" t="str">
            <v/>
          </cell>
        </row>
        <row r="1275">
          <cell r="Q1275" t="str">
            <v/>
          </cell>
        </row>
        <row r="1276">
          <cell r="Q1276" t="str">
            <v/>
          </cell>
        </row>
        <row r="1277">
          <cell r="Q1277" t="str">
            <v/>
          </cell>
        </row>
        <row r="1278">
          <cell r="Q1278" t="str">
            <v/>
          </cell>
        </row>
        <row r="1279">
          <cell r="Q1279" t="str">
            <v/>
          </cell>
        </row>
        <row r="1280">
          <cell r="Q1280" t="str">
            <v/>
          </cell>
        </row>
        <row r="1281">
          <cell r="Q1281" t="str">
            <v/>
          </cell>
        </row>
        <row r="1282">
          <cell r="Q1282" t="str">
            <v/>
          </cell>
        </row>
        <row r="1283">
          <cell r="Q1283" t="str">
            <v/>
          </cell>
        </row>
        <row r="1284">
          <cell r="Q1284" t="str">
            <v/>
          </cell>
        </row>
        <row r="1285">
          <cell r="Q1285" t="str">
            <v/>
          </cell>
        </row>
        <row r="1286">
          <cell r="Q1286" t="str">
            <v/>
          </cell>
        </row>
        <row r="1287">
          <cell r="Q1287" t="str">
            <v/>
          </cell>
        </row>
        <row r="1288">
          <cell r="Q1288" t="str">
            <v/>
          </cell>
        </row>
        <row r="1289">
          <cell r="Q1289" t="str">
            <v/>
          </cell>
        </row>
        <row r="1290">
          <cell r="Q1290" t="str">
            <v/>
          </cell>
        </row>
        <row r="1291">
          <cell r="Q1291" t="str">
            <v/>
          </cell>
        </row>
        <row r="1292">
          <cell r="Q1292" t="str">
            <v/>
          </cell>
        </row>
        <row r="1293">
          <cell r="Q1293" t="str">
            <v/>
          </cell>
        </row>
        <row r="1294">
          <cell r="Q1294" t="str">
            <v/>
          </cell>
        </row>
        <row r="1295">
          <cell r="Q1295" t="str">
            <v/>
          </cell>
        </row>
        <row r="1296">
          <cell r="Q1296" t="str">
            <v/>
          </cell>
        </row>
        <row r="1297">
          <cell r="Q1297" t="str">
            <v/>
          </cell>
        </row>
        <row r="1298">
          <cell r="Q1298" t="str">
            <v/>
          </cell>
        </row>
        <row r="1299">
          <cell r="Q1299" t="str">
            <v/>
          </cell>
        </row>
        <row r="1300">
          <cell r="Q1300" t="str">
            <v/>
          </cell>
        </row>
        <row r="1301">
          <cell r="Q1301" t="str">
            <v/>
          </cell>
        </row>
        <row r="1302">
          <cell r="Q1302" t="str">
            <v/>
          </cell>
        </row>
        <row r="1303">
          <cell r="Q1303" t="str">
            <v/>
          </cell>
        </row>
        <row r="1304">
          <cell r="Q1304" t="str">
            <v/>
          </cell>
        </row>
        <row r="1305">
          <cell r="Q1305" t="str">
            <v/>
          </cell>
        </row>
        <row r="1306">
          <cell r="Q1306" t="str">
            <v/>
          </cell>
        </row>
        <row r="1307">
          <cell r="Q1307" t="str">
            <v/>
          </cell>
        </row>
        <row r="1308">
          <cell r="Q1308" t="str">
            <v/>
          </cell>
        </row>
        <row r="1309">
          <cell r="Q1309" t="str">
            <v/>
          </cell>
        </row>
        <row r="1310">
          <cell r="Q1310" t="str">
            <v/>
          </cell>
        </row>
        <row r="1311">
          <cell r="Q1311" t="str">
            <v/>
          </cell>
        </row>
        <row r="1312">
          <cell r="Q1312" t="str">
            <v/>
          </cell>
        </row>
        <row r="1313">
          <cell r="Q1313" t="str">
            <v/>
          </cell>
        </row>
        <row r="1314">
          <cell r="Q1314" t="str">
            <v/>
          </cell>
        </row>
        <row r="1315">
          <cell r="Q1315" t="str">
            <v/>
          </cell>
        </row>
        <row r="1316">
          <cell r="Q1316" t="str">
            <v/>
          </cell>
        </row>
        <row r="1317">
          <cell r="Q1317" t="str">
            <v/>
          </cell>
        </row>
        <row r="1318">
          <cell r="Q1318" t="str">
            <v/>
          </cell>
        </row>
        <row r="1319">
          <cell r="Q1319" t="str">
            <v/>
          </cell>
        </row>
        <row r="1320">
          <cell r="Q1320" t="str">
            <v/>
          </cell>
        </row>
        <row r="1321">
          <cell r="Q1321" t="str">
            <v/>
          </cell>
        </row>
        <row r="1322">
          <cell r="Q1322" t="str">
            <v/>
          </cell>
        </row>
        <row r="1323">
          <cell r="Q1323" t="str">
            <v/>
          </cell>
        </row>
        <row r="1324">
          <cell r="Q1324" t="str">
            <v/>
          </cell>
        </row>
        <row r="1325">
          <cell r="Q1325" t="str">
            <v/>
          </cell>
        </row>
        <row r="1326">
          <cell r="Q1326" t="str">
            <v/>
          </cell>
        </row>
        <row r="1327">
          <cell r="Q1327" t="str">
            <v/>
          </cell>
        </row>
        <row r="1328">
          <cell r="Q1328" t="str">
            <v/>
          </cell>
        </row>
        <row r="1329">
          <cell r="Q1329" t="str">
            <v/>
          </cell>
        </row>
        <row r="1330">
          <cell r="Q1330" t="str">
            <v/>
          </cell>
        </row>
        <row r="1331">
          <cell r="Q1331" t="str">
            <v/>
          </cell>
        </row>
        <row r="1332">
          <cell r="Q1332" t="str">
            <v/>
          </cell>
        </row>
        <row r="1333">
          <cell r="Q1333" t="str">
            <v/>
          </cell>
        </row>
        <row r="1334">
          <cell r="Q1334" t="str">
            <v/>
          </cell>
        </row>
        <row r="1335">
          <cell r="Q1335" t="str">
            <v/>
          </cell>
        </row>
        <row r="1336">
          <cell r="Q1336" t="str">
            <v/>
          </cell>
        </row>
        <row r="1337">
          <cell r="Q1337" t="str">
            <v/>
          </cell>
        </row>
        <row r="1338">
          <cell r="Q1338" t="str">
            <v/>
          </cell>
        </row>
        <row r="1339">
          <cell r="Q1339" t="str">
            <v/>
          </cell>
        </row>
        <row r="1340">
          <cell r="Q1340" t="str">
            <v/>
          </cell>
        </row>
        <row r="1341">
          <cell r="Q1341" t="str">
            <v/>
          </cell>
        </row>
        <row r="1342">
          <cell r="Q1342" t="str">
            <v/>
          </cell>
        </row>
        <row r="1343">
          <cell r="Q1343" t="str">
            <v/>
          </cell>
        </row>
        <row r="1344">
          <cell r="Q1344" t="str">
            <v/>
          </cell>
        </row>
        <row r="1345">
          <cell r="Q1345" t="str">
            <v/>
          </cell>
        </row>
        <row r="1346">
          <cell r="Q1346" t="str">
            <v/>
          </cell>
        </row>
        <row r="1347">
          <cell r="Q1347" t="str">
            <v/>
          </cell>
        </row>
        <row r="1348">
          <cell r="Q1348" t="str">
            <v/>
          </cell>
        </row>
        <row r="1349">
          <cell r="Q1349" t="str">
            <v/>
          </cell>
        </row>
        <row r="1350">
          <cell r="Q1350" t="str">
            <v/>
          </cell>
        </row>
        <row r="1351">
          <cell r="Q1351" t="str">
            <v/>
          </cell>
        </row>
        <row r="1352">
          <cell r="Q1352" t="str">
            <v/>
          </cell>
        </row>
        <row r="1353">
          <cell r="Q1353" t="str">
            <v/>
          </cell>
        </row>
        <row r="1354">
          <cell r="Q1354" t="str">
            <v/>
          </cell>
        </row>
        <row r="1355">
          <cell r="Q1355" t="str">
            <v/>
          </cell>
        </row>
        <row r="1356">
          <cell r="Q1356" t="str">
            <v/>
          </cell>
        </row>
        <row r="1357">
          <cell r="Q1357" t="str">
            <v/>
          </cell>
        </row>
        <row r="1358">
          <cell r="Q1358" t="str">
            <v/>
          </cell>
        </row>
        <row r="1359">
          <cell r="Q1359" t="str">
            <v/>
          </cell>
        </row>
        <row r="1360">
          <cell r="Q1360" t="str">
            <v/>
          </cell>
        </row>
        <row r="1361">
          <cell r="Q1361" t="str">
            <v/>
          </cell>
        </row>
        <row r="1362">
          <cell r="Q1362" t="str">
            <v/>
          </cell>
        </row>
        <row r="1363">
          <cell r="Q1363" t="str">
            <v/>
          </cell>
        </row>
        <row r="1364">
          <cell r="Q1364" t="str">
            <v/>
          </cell>
        </row>
        <row r="1365">
          <cell r="Q1365" t="str">
            <v/>
          </cell>
        </row>
        <row r="1366">
          <cell r="Q1366" t="str">
            <v/>
          </cell>
        </row>
        <row r="1367">
          <cell r="Q1367" t="str">
            <v/>
          </cell>
        </row>
        <row r="1368">
          <cell r="Q1368" t="str">
            <v/>
          </cell>
        </row>
        <row r="1369">
          <cell r="Q1369" t="str">
            <v/>
          </cell>
        </row>
        <row r="1370">
          <cell r="Q1370" t="str">
            <v/>
          </cell>
        </row>
        <row r="1371">
          <cell r="Q1371" t="str">
            <v/>
          </cell>
        </row>
        <row r="1372">
          <cell r="Q1372" t="str">
            <v/>
          </cell>
        </row>
        <row r="1373">
          <cell r="Q1373" t="str">
            <v/>
          </cell>
        </row>
        <row r="1374">
          <cell r="Q1374" t="str">
            <v/>
          </cell>
        </row>
        <row r="1375">
          <cell r="Q1375" t="str">
            <v/>
          </cell>
        </row>
        <row r="1376">
          <cell r="Q1376" t="str">
            <v/>
          </cell>
        </row>
        <row r="1377">
          <cell r="Q1377" t="str">
            <v/>
          </cell>
        </row>
        <row r="1378">
          <cell r="Q1378" t="str">
            <v/>
          </cell>
        </row>
        <row r="1379">
          <cell r="Q1379" t="str">
            <v/>
          </cell>
        </row>
        <row r="1380">
          <cell r="Q1380" t="str">
            <v/>
          </cell>
        </row>
        <row r="1381">
          <cell r="Q1381" t="str">
            <v/>
          </cell>
        </row>
        <row r="1382">
          <cell r="Q1382" t="str">
            <v/>
          </cell>
        </row>
        <row r="1383">
          <cell r="Q1383" t="str">
            <v/>
          </cell>
        </row>
        <row r="1384">
          <cell r="Q1384" t="str">
            <v/>
          </cell>
        </row>
        <row r="1385">
          <cell r="Q1385" t="str">
            <v/>
          </cell>
        </row>
        <row r="1386">
          <cell r="Q1386" t="str">
            <v/>
          </cell>
        </row>
        <row r="1387">
          <cell r="Q1387" t="str">
            <v/>
          </cell>
        </row>
        <row r="1388">
          <cell r="Q1388" t="str">
            <v/>
          </cell>
        </row>
        <row r="1389">
          <cell r="Q1389" t="str">
            <v/>
          </cell>
        </row>
        <row r="1390">
          <cell r="Q1390" t="str">
            <v/>
          </cell>
        </row>
        <row r="1391">
          <cell r="Q1391" t="str">
            <v/>
          </cell>
        </row>
        <row r="1392">
          <cell r="Q1392" t="str">
            <v/>
          </cell>
        </row>
        <row r="1393">
          <cell r="Q1393" t="str">
            <v/>
          </cell>
        </row>
        <row r="1394">
          <cell r="Q1394" t="str">
            <v/>
          </cell>
        </row>
        <row r="1395">
          <cell r="Q1395" t="str">
            <v/>
          </cell>
        </row>
        <row r="1396">
          <cell r="Q1396" t="str">
            <v/>
          </cell>
        </row>
        <row r="1397">
          <cell r="Q1397" t="str">
            <v/>
          </cell>
        </row>
        <row r="1398">
          <cell r="Q1398" t="str">
            <v/>
          </cell>
        </row>
        <row r="1399">
          <cell r="Q1399" t="str">
            <v/>
          </cell>
        </row>
        <row r="1400">
          <cell r="Q1400" t="str">
            <v/>
          </cell>
        </row>
        <row r="1401">
          <cell r="Q1401" t="str">
            <v/>
          </cell>
        </row>
        <row r="1402">
          <cell r="Q1402" t="str">
            <v/>
          </cell>
        </row>
        <row r="1403">
          <cell r="Q1403" t="str">
            <v/>
          </cell>
        </row>
        <row r="1404">
          <cell r="Q1404" t="str">
            <v/>
          </cell>
        </row>
        <row r="1405">
          <cell r="Q1405" t="str">
            <v/>
          </cell>
        </row>
        <row r="1406">
          <cell r="Q1406" t="str">
            <v/>
          </cell>
        </row>
        <row r="1407">
          <cell r="Q1407" t="str">
            <v/>
          </cell>
        </row>
        <row r="1408">
          <cell r="Q1408" t="str">
            <v/>
          </cell>
        </row>
        <row r="1409">
          <cell r="Q1409" t="str">
            <v/>
          </cell>
        </row>
        <row r="1410">
          <cell r="Q1410" t="str">
            <v/>
          </cell>
        </row>
        <row r="1411">
          <cell r="Q1411" t="str">
            <v/>
          </cell>
        </row>
        <row r="1412">
          <cell r="Q1412" t="str">
            <v/>
          </cell>
        </row>
        <row r="1413">
          <cell r="Q1413" t="str">
            <v/>
          </cell>
        </row>
        <row r="1414">
          <cell r="Q1414" t="str">
            <v/>
          </cell>
        </row>
        <row r="1415">
          <cell r="Q1415" t="str">
            <v/>
          </cell>
        </row>
        <row r="1416">
          <cell r="Q1416" t="str">
            <v/>
          </cell>
        </row>
        <row r="1417">
          <cell r="Q1417" t="str">
            <v/>
          </cell>
        </row>
        <row r="1418">
          <cell r="Q1418" t="str">
            <v/>
          </cell>
        </row>
        <row r="1419">
          <cell r="Q1419" t="str">
            <v/>
          </cell>
        </row>
        <row r="1420">
          <cell r="Q1420" t="str">
            <v/>
          </cell>
        </row>
        <row r="1421">
          <cell r="Q1421" t="str">
            <v/>
          </cell>
        </row>
        <row r="1422">
          <cell r="Q1422" t="str">
            <v/>
          </cell>
        </row>
        <row r="1423">
          <cell r="Q1423" t="str">
            <v/>
          </cell>
        </row>
        <row r="1424">
          <cell r="Q1424" t="str">
            <v/>
          </cell>
        </row>
        <row r="1425">
          <cell r="Q1425" t="str">
            <v/>
          </cell>
        </row>
        <row r="1426">
          <cell r="Q1426" t="str">
            <v/>
          </cell>
        </row>
        <row r="1427">
          <cell r="Q1427" t="str">
            <v/>
          </cell>
        </row>
        <row r="1428">
          <cell r="Q1428" t="str">
            <v/>
          </cell>
        </row>
        <row r="1429">
          <cell r="Q1429" t="str">
            <v/>
          </cell>
        </row>
        <row r="1430">
          <cell r="Q1430" t="str">
            <v/>
          </cell>
        </row>
        <row r="1431">
          <cell r="Q1431" t="str">
            <v/>
          </cell>
        </row>
        <row r="1432">
          <cell r="Q1432" t="str">
            <v/>
          </cell>
        </row>
        <row r="1433">
          <cell r="Q1433" t="str">
            <v/>
          </cell>
        </row>
        <row r="1434">
          <cell r="Q1434" t="str">
            <v/>
          </cell>
        </row>
        <row r="1435">
          <cell r="Q1435" t="str">
            <v/>
          </cell>
        </row>
        <row r="1436">
          <cell r="Q1436" t="str">
            <v/>
          </cell>
        </row>
        <row r="1437">
          <cell r="Q1437" t="str">
            <v/>
          </cell>
        </row>
        <row r="1438">
          <cell r="Q1438" t="str">
            <v/>
          </cell>
        </row>
        <row r="1439">
          <cell r="Q1439" t="str">
            <v/>
          </cell>
        </row>
        <row r="1440">
          <cell r="Q1440" t="str">
            <v/>
          </cell>
        </row>
        <row r="1441">
          <cell r="Q1441" t="str">
            <v/>
          </cell>
        </row>
        <row r="1442">
          <cell r="Q1442" t="str">
            <v/>
          </cell>
        </row>
        <row r="1443">
          <cell r="Q1443" t="str">
            <v/>
          </cell>
        </row>
        <row r="1444">
          <cell r="Q1444" t="str">
            <v/>
          </cell>
        </row>
        <row r="1445">
          <cell r="Q1445" t="str">
            <v/>
          </cell>
        </row>
        <row r="1446">
          <cell r="Q1446" t="str">
            <v/>
          </cell>
        </row>
        <row r="1447">
          <cell r="Q1447" t="str">
            <v/>
          </cell>
        </row>
        <row r="1448">
          <cell r="Q1448" t="str">
            <v/>
          </cell>
        </row>
        <row r="1449">
          <cell r="Q1449" t="str">
            <v/>
          </cell>
        </row>
        <row r="1450">
          <cell r="Q1450" t="str">
            <v/>
          </cell>
        </row>
        <row r="1451">
          <cell r="Q1451" t="str">
            <v/>
          </cell>
        </row>
        <row r="1452">
          <cell r="Q1452" t="str">
            <v/>
          </cell>
        </row>
        <row r="1453">
          <cell r="Q1453" t="str">
            <v/>
          </cell>
        </row>
        <row r="1454">
          <cell r="Q1454" t="str">
            <v/>
          </cell>
        </row>
        <row r="1455">
          <cell r="Q1455" t="str">
            <v/>
          </cell>
        </row>
        <row r="1456">
          <cell r="Q1456" t="str">
            <v/>
          </cell>
        </row>
        <row r="1457">
          <cell r="Q1457" t="str">
            <v/>
          </cell>
        </row>
        <row r="1458">
          <cell r="Q1458" t="str">
            <v/>
          </cell>
        </row>
        <row r="1459">
          <cell r="Q1459" t="str">
            <v/>
          </cell>
        </row>
        <row r="1460">
          <cell r="Q1460" t="str">
            <v/>
          </cell>
        </row>
        <row r="1461">
          <cell r="Q1461" t="str">
            <v/>
          </cell>
        </row>
        <row r="1462">
          <cell r="Q1462" t="str">
            <v/>
          </cell>
        </row>
        <row r="1463">
          <cell r="Q1463" t="str">
            <v/>
          </cell>
        </row>
        <row r="1464">
          <cell r="Q1464" t="str">
            <v/>
          </cell>
        </row>
        <row r="1465">
          <cell r="Q1465" t="str">
            <v/>
          </cell>
        </row>
        <row r="1466">
          <cell r="Q1466" t="str">
            <v/>
          </cell>
        </row>
        <row r="1467">
          <cell r="Q1467" t="str">
            <v/>
          </cell>
        </row>
        <row r="1468">
          <cell r="Q1468" t="str">
            <v/>
          </cell>
        </row>
        <row r="1469">
          <cell r="Q1469" t="str">
            <v/>
          </cell>
        </row>
        <row r="1470">
          <cell r="Q1470" t="str">
            <v/>
          </cell>
        </row>
        <row r="1471">
          <cell r="Q1471" t="str">
            <v/>
          </cell>
        </row>
        <row r="1472">
          <cell r="Q1472" t="str">
            <v/>
          </cell>
        </row>
        <row r="1473">
          <cell r="Q1473" t="str">
            <v/>
          </cell>
        </row>
        <row r="1474">
          <cell r="Q1474" t="str">
            <v/>
          </cell>
        </row>
        <row r="1475">
          <cell r="Q1475" t="str">
            <v/>
          </cell>
        </row>
        <row r="1476">
          <cell r="Q1476" t="str">
            <v/>
          </cell>
        </row>
        <row r="1477">
          <cell r="Q1477" t="str">
            <v/>
          </cell>
        </row>
        <row r="1478">
          <cell r="Q1478" t="str">
            <v/>
          </cell>
        </row>
        <row r="1479">
          <cell r="Q1479" t="str">
            <v/>
          </cell>
        </row>
        <row r="1480">
          <cell r="Q1480" t="str">
            <v/>
          </cell>
        </row>
        <row r="1481">
          <cell r="Q1481" t="str">
            <v/>
          </cell>
        </row>
        <row r="1482">
          <cell r="Q1482" t="str">
            <v/>
          </cell>
        </row>
        <row r="1483">
          <cell r="Q1483" t="str">
            <v/>
          </cell>
        </row>
        <row r="1484">
          <cell r="Q1484" t="str">
            <v/>
          </cell>
        </row>
        <row r="1485">
          <cell r="Q1485" t="str">
            <v/>
          </cell>
        </row>
        <row r="1486">
          <cell r="Q1486" t="str">
            <v/>
          </cell>
        </row>
        <row r="1487">
          <cell r="Q1487" t="str">
            <v/>
          </cell>
        </row>
        <row r="1488">
          <cell r="Q1488" t="str">
            <v/>
          </cell>
        </row>
        <row r="1489">
          <cell r="Q1489" t="str">
            <v/>
          </cell>
        </row>
        <row r="1490">
          <cell r="Q1490" t="str">
            <v/>
          </cell>
        </row>
        <row r="1491">
          <cell r="Q1491" t="str">
            <v/>
          </cell>
        </row>
        <row r="1492">
          <cell r="Q1492" t="str">
            <v/>
          </cell>
        </row>
        <row r="1493">
          <cell r="Q1493" t="str">
            <v/>
          </cell>
        </row>
        <row r="1494">
          <cell r="Q1494" t="str">
            <v/>
          </cell>
        </row>
        <row r="1495">
          <cell r="Q1495" t="str">
            <v/>
          </cell>
        </row>
        <row r="1496">
          <cell r="Q1496" t="str">
            <v/>
          </cell>
        </row>
        <row r="1497">
          <cell r="Q1497" t="str">
            <v/>
          </cell>
        </row>
        <row r="1498">
          <cell r="Q1498" t="str">
            <v/>
          </cell>
        </row>
        <row r="1499">
          <cell r="Q1499" t="str">
            <v/>
          </cell>
        </row>
        <row r="1500">
          <cell r="Q1500" t="str">
            <v/>
          </cell>
        </row>
        <row r="1501">
          <cell r="Q1501" t="str">
            <v/>
          </cell>
        </row>
        <row r="1502">
          <cell r="Q1502" t="str">
            <v/>
          </cell>
        </row>
        <row r="1503">
          <cell r="Q1503" t="str">
            <v/>
          </cell>
        </row>
        <row r="1504">
          <cell r="Q1504" t="str">
            <v/>
          </cell>
        </row>
        <row r="1505">
          <cell r="Q1505" t="str">
            <v/>
          </cell>
        </row>
        <row r="1506">
          <cell r="Q1506" t="str">
            <v/>
          </cell>
        </row>
        <row r="1507">
          <cell r="Q1507" t="str">
            <v/>
          </cell>
        </row>
        <row r="1508">
          <cell r="Q1508" t="str">
            <v/>
          </cell>
        </row>
        <row r="1509">
          <cell r="Q1509" t="str">
            <v/>
          </cell>
        </row>
        <row r="1510">
          <cell r="Q1510" t="str">
            <v/>
          </cell>
        </row>
        <row r="1511">
          <cell r="Q1511" t="str">
            <v/>
          </cell>
        </row>
        <row r="1512">
          <cell r="Q1512" t="str">
            <v/>
          </cell>
        </row>
        <row r="1513">
          <cell r="Q1513" t="str">
            <v/>
          </cell>
        </row>
        <row r="1514">
          <cell r="Q1514" t="str">
            <v/>
          </cell>
        </row>
        <row r="1515">
          <cell r="Q1515" t="str">
            <v/>
          </cell>
        </row>
        <row r="1516">
          <cell r="Q1516" t="str">
            <v/>
          </cell>
        </row>
        <row r="1517">
          <cell r="Q1517" t="str">
            <v/>
          </cell>
        </row>
        <row r="1518">
          <cell r="Q1518" t="str">
            <v/>
          </cell>
        </row>
        <row r="1519">
          <cell r="Q1519" t="str">
            <v/>
          </cell>
        </row>
        <row r="1520">
          <cell r="Q1520" t="str">
            <v/>
          </cell>
        </row>
        <row r="1521">
          <cell r="Q1521" t="str">
            <v/>
          </cell>
        </row>
        <row r="1522">
          <cell r="Q1522" t="str">
            <v/>
          </cell>
        </row>
        <row r="1523">
          <cell r="Q1523" t="str">
            <v/>
          </cell>
        </row>
        <row r="1524">
          <cell r="Q1524" t="str">
            <v/>
          </cell>
        </row>
        <row r="1525">
          <cell r="Q1525" t="str">
            <v/>
          </cell>
        </row>
        <row r="1526">
          <cell r="Q1526" t="str">
            <v/>
          </cell>
        </row>
        <row r="1527">
          <cell r="Q1527" t="str">
            <v/>
          </cell>
        </row>
        <row r="1528">
          <cell r="Q1528" t="str">
            <v/>
          </cell>
        </row>
        <row r="1529">
          <cell r="Q1529" t="str">
            <v/>
          </cell>
        </row>
        <row r="1530">
          <cell r="Q1530" t="str">
            <v/>
          </cell>
        </row>
        <row r="1531">
          <cell r="Q1531" t="str">
            <v/>
          </cell>
        </row>
        <row r="1532">
          <cell r="Q1532" t="str">
            <v/>
          </cell>
        </row>
        <row r="1533">
          <cell r="Q1533" t="str">
            <v/>
          </cell>
        </row>
        <row r="1534">
          <cell r="Q1534" t="str">
            <v/>
          </cell>
        </row>
        <row r="1535">
          <cell r="Q1535" t="str">
            <v/>
          </cell>
        </row>
        <row r="1536">
          <cell r="Q1536" t="str">
            <v/>
          </cell>
        </row>
        <row r="1537">
          <cell r="Q1537" t="str">
            <v/>
          </cell>
        </row>
        <row r="1538">
          <cell r="Q1538" t="str">
            <v/>
          </cell>
        </row>
        <row r="1539">
          <cell r="Q1539" t="str">
            <v/>
          </cell>
        </row>
        <row r="1540">
          <cell r="Q1540" t="str">
            <v/>
          </cell>
        </row>
        <row r="1541">
          <cell r="Q1541" t="str">
            <v/>
          </cell>
        </row>
        <row r="1542">
          <cell r="Q1542" t="str">
            <v/>
          </cell>
        </row>
        <row r="1543">
          <cell r="Q1543" t="str">
            <v/>
          </cell>
        </row>
        <row r="1544">
          <cell r="Q1544" t="str">
            <v/>
          </cell>
        </row>
        <row r="1545">
          <cell r="Q1545" t="str">
            <v/>
          </cell>
        </row>
        <row r="1546">
          <cell r="Q1546" t="str">
            <v/>
          </cell>
        </row>
        <row r="1547">
          <cell r="Q1547" t="str">
            <v/>
          </cell>
        </row>
        <row r="1548">
          <cell r="Q1548" t="str">
            <v/>
          </cell>
        </row>
        <row r="1549">
          <cell r="Q1549" t="str">
            <v/>
          </cell>
        </row>
        <row r="1550">
          <cell r="Q1550" t="str">
            <v/>
          </cell>
        </row>
        <row r="1551">
          <cell r="Q1551" t="str">
            <v/>
          </cell>
        </row>
        <row r="1552">
          <cell r="Q1552" t="str">
            <v/>
          </cell>
        </row>
        <row r="1553">
          <cell r="Q1553" t="str">
            <v/>
          </cell>
        </row>
        <row r="1554">
          <cell r="Q1554" t="str">
            <v/>
          </cell>
        </row>
        <row r="1555">
          <cell r="Q1555" t="str">
            <v/>
          </cell>
        </row>
        <row r="1556">
          <cell r="Q1556" t="str">
            <v/>
          </cell>
        </row>
        <row r="1557">
          <cell r="Q1557" t="str">
            <v/>
          </cell>
        </row>
        <row r="1558">
          <cell r="Q1558" t="str">
            <v/>
          </cell>
        </row>
        <row r="1559">
          <cell r="Q1559" t="str">
            <v/>
          </cell>
        </row>
        <row r="1560">
          <cell r="Q1560" t="str">
            <v/>
          </cell>
        </row>
        <row r="1561">
          <cell r="Q1561" t="str">
            <v/>
          </cell>
        </row>
        <row r="1562">
          <cell r="Q1562" t="str">
            <v/>
          </cell>
        </row>
        <row r="1563">
          <cell r="Q1563" t="str">
            <v/>
          </cell>
        </row>
        <row r="1564">
          <cell r="Q1564" t="str">
            <v/>
          </cell>
        </row>
        <row r="1565">
          <cell r="Q1565" t="str">
            <v/>
          </cell>
        </row>
        <row r="1566">
          <cell r="Q1566" t="str">
            <v/>
          </cell>
        </row>
        <row r="1567">
          <cell r="Q1567" t="str">
            <v/>
          </cell>
        </row>
        <row r="1568">
          <cell r="Q1568" t="str">
            <v/>
          </cell>
        </row>
        <row r="1569">
          <cell r="Q1569" t="str">
            <v/>
          </cell>
        </row>
        <row r="1570">
          <cell r="Q1570" t="str">
            <v/>
          </cell>
        </row>
        <row r="1571">
          <cell r="Q1571" t="str">
            <v/>
          </cell>
        </row>
        <row r="1572">
          <cell r="Q1572" t="str">
            <v/>
          </cell>
        </row>
        <row r="1573">
          <cell r="Q1573" t="str">
            <v/>
          </cell>
        </row>
        <row r="1574">
          <cell r="Q1574" t="str">
            <v/>
          </cell>
        </row>
        <row r="1575">
          <cell r="Q1575" t="str">
            <v/>
          </cell>
        </row>
        <row r="1576">
          <cell r="Q1576" t="str">
            <v/>
          </cell>
        </row>
        <row r="1577">
          <cell r="Q1577" t="str">
            <v/>
          </cell>
        </row>
        <row r="1578">
          <cell r="Q1578" t="str">
            <v/>
          </cell>
        </row>
        <row r="1579">
          <cell r="Q1579" t="str">
            <v/>
          </cell>
        </row>
        <row r="1580">
          <cell r="Q1580" t="str">
            <v/>
          </cell>
        </row>
        <row r="1581">
          <cell r="Q1581" t="str">
            <v/>
          </cell>
        </row>
        <row r="1582">
          <cell r="Q1582" t="str">
            <v/>
          </cell>
        </row>
        <row r="1583">
          <cell r="Q1583" t="str">
            <v/>
          </cell>
        </row>
        <row r="1584">
          <cell r="Q1584" t="str">
            <v/>
          </cell>
        </row>
        <row r="1585">
          <cell r="Q1585" t="str">
            <v/>
          </cell>
        </row>
        <row r="1586">
          <cell r="Q1586" t="str">
            <v/>
          </cell>
        </row>
        <row r="1587">
          <cell r="Q1587" t="str">
            <v/>
          </cell>
        </row>
        <row r="1588">
          <cell r="Q1588" t="str">
            <v/>
          </cell>
        </row>
        <row r="1589">
          <cell r="Q1589" t="str">
            <v/>
          </cell>
        </row>
        <row r="1590">
          <cell r="Q1590" t="str">
            <v/>
          </cell>
        </row>
        <row r="1591">
          <cell r="Q1591" t="str">
            <v/>
          </cell>
        </row>
        <row r="1592">
          <cell r="Q1592" t="str">
            <v/>
          </cell>
        </row>
        <row r="1593">
          <cell r="Q1593" t="str">
            <v/>
          </cell>
        </row>
        <row r="1594">
          <cell r="Q1594" t="str">
            <v/>
          </cell>
        </row>
        <row r="1595">
          <cell r="Q1595" t="str">
            <v/>
          </cell>
        </row>
        <row r="1596">
          <cell r="Q1596" t="str">
            <v/>
          </cell>
        </row>
        <row r="1597">
          <cell r="Q1597" t="str">
            <v/>
          </cell>
        </row>
        <row r="1598">
          <cell r="Q1598" t="str">
            <v/>
          </cell>
        </row>
        <row r="1599">
          <cell r="Q1599" t="str">
            <v/>
          </cell>
        </row>
        <row r="1600">
          <cell r="Q1600" t="str">
            <v/>
          </cell>
        </row>
        <row r="1601">
          <cell r="Q1601" t="str">
            <v/>
          </cell>
        </row>
        <row r="1602">
          <cell r="Q1602" t="str">
            <v/>
          </cell>
        </row>
        <row r="1603">
          <cell r="Q1603" t="str">
            <v/>
          </cell>
        </row>
        <row r="1604">
          <cell r="Q1604" t="str">
            <v/>
          </cell>
        </row>
        <row r="1605">
          <cell r="Q1605" t="str">
            <v/>
          </cell>
        </row>
        <row r="1606">
          <cell r="Q1606" t="str">
            <v/>
          </cell>
        </row>
        <row r="1607">
          <cell r="Q1607" t="str">
            <v/>
          </cell>
        </row>
        <row r="1608">
          <cell r="Q1608" t="str">
            <v/>
          </cell>
        </row>
        <row r="1609">
          <cell r="Q1609" t="str">
            <v/>
          </cell>
        </row>
        <row r="1610">
          <cell r="Q1610" t="str">
            <v/>
          </cell>
        </row>
        <row r="1611">
          <cell r="Q1611" t="str">
            <v/>
          </cell>
        </row>
        <row r="1612">
          <cell r="Q1612" t="str">
            <v/>
          </cell>
        </row>
        <row r="1613">
          <cell r="Q1613" t="str">
            <v/>
          </cell>
        </row>
        <row r="1614">
          <cell r="Q1614" t="str">
            <v/>
          </cell>
        </row>
        <row r="1615">
          <cell r="Q1615" t="str">
            <v/>
          </cell>
        </row>
        <row r="1616">
          <cell r="Q1616" t="str">
            <v/>
          </cell>
        </row>
        <row r="1617">
          <cell r="Q1617" t="str">
            <v/>
          </cell>
        </row>
        <row r="1618">
          <cell r="Q1618" t="str">
            <v/>
          </cell>
        </row>
        <row r="1619">
          <cell r="Q1619" t="str">
            <v/>
          </cell>
        </row>
        <row r="1620">
          <cell r="Q1620" t="str">
            <v/>
          </cell>
        </row>
        <row r="1621">
          <cell r="Q1621" t="str">
            <v/>
          </cell>
        </row>
        <row r="1622">
          <cell r="Q1622" t="str">
            <v/>
          </cell>
        </row>
        <row r="1623">
          <cell r="Q1623" t="str">
            <v/>
          </cell>
        </row>
        <row r="1624">
          <cell r="Q1624" t="str">
            <v/>
          </cell>
        </row>
        <row r="1625">
          <cell r="Q1625" t="str">
            <v/>
          </cell>
        </row>
        <row r="1626">
          <cell r="Q1626" t="str">
            <v/>
          </cell>
        </row>
        <row r="1627">
          <cell r="Q1627" t="str">
            <v/>
          </cell>
        </row>
        <row r="1628">
          <cell r="Q1628" t="str">
            <v/>
          </cell>
        </row>
        <row r="1629">
          <cell r="Q1629" t="str">
            <v/>
          </cell>
        </row>
        <row r="1630">
          <cell r="Q1630" t="str">
            <v/>
          </cell>
        </row>
        <row r="1631">
          <cell r="Q1631" t="str">
            <v/>
          </cell>
        </row>
        <row r="1632">
          <cell r="Q1632" t="str">
            <v/>
          </cell>
        </row>
        <row r="1633">
          <cell r="Q1633" t="str">
            <v/>
          </cell>
        </row>
        <row r="1634">
          <cell r="Q1634" t="str">
            <v/>
          </cell>
        </row>
        <row r="1635">
          <cell r="Q1635" t="str">
            <v/>
          </cell>
        </row>
        <row r="1636">
          <cell r="Q1636" t="str">
            <v/>
          </cell>
        </row>
        <row r="1637">
          <cell r="Q1637" t="str">
            <v/>
          </cell>
        </row>
        <row r="1638">
          <cell r="Q1638" t="str">
            <v/>
          </cell>
        </row>
        <row r="1639">
          <cell r="Q1639" t="str">
            <v/>
          </cell>
        </row>
        <row r="1640">
          <cell r="Q1640" t="str">
            <v/>
          </cell>
        </row>
        <row r="1641">
          <cell r="Q1641" t="str">
            <v/>
          </cell>
        </row>
        <row r="1642">
          <cell r="Q1642" t="str">
            <v/>
          </cell>
        </row>
        <row r="1643">
          <cell r="Q1643" t="str">
            <v/>
          </cell>
        </row>
        <row r="1644">
          <cell r="Q1644" t="str">
            <v/>
          </cell>
        </row>
        <row r="1645">
          <cell r="Q1645" t="str">
            <v/>
          </cell>
        </row>
        <row r="1646">
          <cell r="Q1646" t="str">
            <v/>
          </cell>
        </row>
        <row r="1647">
          <cell r="Q1647" t="str">
            <v/>
          </cell>
        </row>
        <row r="1648">
          <cell r="Q1648" t="str">
            <v/>
          </cell>
        </row>
        <row r="1649">
          <cell r="Q1649" t="str">
            <v/>
          </cell>
        </row>
        <row r="1650">
          <cell r="Q1650" t="str">
            <v/>
          </cell>
        </row>
        <row r="1651">
          <cell r="Q1651" t="str">
            <v/>
          </cell>
        </row>
        <row r="1652">
          <cell r="Q1652" t="str">
            <v/>
          </cell>
        </row>
        <row r="1653">
          <cell r="Q1653" t="str">
            <v/>
          </cell>
        </row>
        <row r="1654">
          <cell r="Q1654" t="str">
            <v/>
          </cell>
        </row>
        <row r="1655">
          <cell r="Q1655" t="str">
            <v/>
          </cell>
        </row>
        <row r="1656">
          <cell r="Q1656" t="str">
            <v/>
          </cell>
        </row>
        <row r="1657">
          <cell r="Q1657" t="str">
            <v/>
          </cell>
        </row>
        <row r="1658">
          <cell r="Q1658" t="str">
            <v/>
          </cell>
        </row>
        <row r="1659">
          <cell r="Q1659" t="str">
            <v/>
          </cell>
        </row>
        <row r="1660">
          <cell r="Q1660" t="str">
            <v/>
          </cell>
        </row>
        <row r="1661">
          <cell r="Q1661" t="str">
            <v/>
          </cell>
        </row>
        <row r="1662">
          <cell r="Q1662" t="str">
            <v/>
          </cell>
        </row>
        <row r="1663">
          <cell r="Q1663" t="str">
            <v/>
          </cell>
        </row>
        <row r="1664">
          <cell r="Q1664" t="str">
            <v/>
          </cell>
        </row>
        <row r="1665">
          <cell r="Q1665" t="str">
            <v/>
          </cell>
        </row>
        <row r="1666">
          <cell r="Q1666" t="str">
            <v/>
          </cell>
        </row>
        <row r="1667">
          <cell r="Q1667" t="str">
            <v/>
          </cell>
        </row>
        <row r="1668">
          <cell r="Q1668" t="str">
            <v/>
          </cell>
        </row>
        <row r="1669">
          <cell r="Q1669" t="str">
            <v/>
          </cell>
        </row>
        <row r="1670">
          <cell r="Q1670" t="str">
            <v/>
          </cell>
        </row>
        <row r="1671">
          <cell r="Q1671" t="str">
            <v/>
          </cell>
        </row>
        <row r="1672">
          <cell r="Q1672" t="str">
            <v/>
          </cell>
        </row>
        <row r="1673">
          <cell r="Q1673" t="str">
            <v/>
          </cell>
        </row>
        <row r="1674">
          <cell r="Q1674" t="str">
            <v/>
          </cell>
        </row>
        <row r="1675">
          <cell r="Q1675" t="str">
            <v/>
          </cell>
        </row>
        <row r="1676">
          <cell r="Q1676" t="str">
            <v/>
          </cell>
        </row>
        <row r="1677">
          <cell r="Q1677" t="str">
            <v/>
          </cell>
        </row>
        <row r="1678">
          <cell r="Q1678" t="str">
            <v/>
          </cell>
        </row>
        <row r="1679">
          <cell r="Q1679" t="str">
            <v/>
          </cell>
        </row>
        <row r="1680">
          <cell r="Q1680" t="str">
            <v/>
          </cell>
        </row>
        <row r="1681">
          <cell r="Q1681" t="str">
            <v/>
          </cell>
        </row>
        <row r="1682">
          <cell r="Q1682" t="str">
            <v/>
          </cell>
        </row>
        <row r="1683">
          <cell r="Q1683" t="str">
            <v/>
          </cell>
        </row>
        <row r="1684">
          <cell r="Q1684" t="str">
            <v/>
          </cell>
        </row>
        <row r="1685">
          <cell r="Q1685" t="str">
            <v/>
          </cell>
        </row>
        <row r="1686">
          <cell r="Q1686" t="str">
            <v/>
          </cell>
        </row>
        <row r="1687">
          <cell r="Q1687" t="str">
            <v/>
          </cell>
        </row>
        <row r="1688">
          <cell r="Q1688" t="str">
            <v/>
          </cell>
        </row>
        <row r="1689">
          <cell r="Q1689" t="str">
            <v/>
          </cell>
        </row>
        <row r="1690">
          <cell r="Q1690" t="str">
            <v/>
          </cell>
        </row>
        <row r="1691">
          <cell r="Q1691" t="str">
            <v/>
          </cell>
        </row>
        <row r="1692">
          <cell r="Q1692" t="str">
            <v/>
          </cell>
        </row>
        <row r="1693">
          <cell r="Q1693" t="str">
            <v/>
          </cell>
        </row>
        <row r="1694">
          <cell r="Q1694" t="str">
            <v/>
          </cell>
        </row>
        <row r="1695">
          <cell r="Q1695" t="str">
            <v/>
          </cell>
        </row>
        <row r="1696">
          <cell r="Q1696" t="str">
            <v/>
          </cell>
        </row>
        <row r="1697">
          <cell r="Q1697" t="str">
            <v/>
          </cell>
        </row>
        <row r="1698">
          <cell r="Q1698" t="str">
            <v/>
          </cell>
        </row>
        <row r="1699">
          <cell r="Q169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00000000}" name="Tabulka170" displayName="Tabulka170" ref="R1:AA5" tableType="xml" totalsRowShown="0" headerRowDxfId="163" dataDxfId="162">
  <autoFilter ref="R1:AA5" xr:uid="{00000000-0009-0000-0100-0000AA000000}"/>
  <tableColumns count="10">
    <tableColumn id="1" xr3:uid="{00000000-0010-0000-0000-000001000000}" uniqueName="vyzdite_d_nar" name="vyzdite_d_nar" dataDxfId="161">
      <calculatedColumnFormula>IF('DAP3'!D17&lt;&gt;"",CONCATENATE(MID('DAP3'!D17,5,2),".",IF(VALUE(MID('DAP3'!D17,3,2))&lt;13,MID('DAP3'!D17,3,2),MID('DAP3'!D17,3,2)-50),".",IF(MID('DAP3'!D17,1,2)&lt;"50","20","19"),MID('DAP3'!D17,1,2)),"")</calculatedColumnFormula>
      <xmlColumnPr mapId="8" xpath="/Pisemnost/DPFDP7/VetaA/@vyzdite_d_nar" xmlDataType="string"/>
    </tableColumn>
    <tableColumn id="2" xr3:uid="{00000000-0010-0000-0000-000002000000}" uniqueName="vyzdite_jmeno" name="vyzdite_jmeno" dataDxfId="160">
      <calculatedColumnFormula>IF('DAP3'!B17&lt;&gt;"XXX",MID('DAP3'!B17,(FIND(" ",'DAP3'!B17,1))+1,LEN('DAP3'!B17)),"")</calculatedColumnFormula>
      <xmlColumnPr mapId="8" xpath="/Pisemnost/DPFDP7/VetaA/@vyzdite_jmeno" xmlDataType="string"/>
    </tableColumn>
    <tableColumn id="3" xr3:uid="{00000000-0010-0000-0000-000003000000}" uniqueName="vyzdite_pocmes" name="vyzdite_pocmes" dataDxfId="159">
      <calculatedColumnFormula>IF('DAP3'!F17&lt;&gt;"",'DAP3'!F17,"")</calculatedColumnFormula>
      <xmlColumnPr mapId="8" xpath="/Pisemnost/DPFDP7/VetaA/@vyzdite_pocmes" xmlDataType="decimal"/>
    </tableColumn>
    <tableColumn id="4" xr3:uid="{00000000-0010-0000-0000-000004000000}" uniqueName="vyzdite_pocmes2" name="vyzdite_pocmes2" dataDxfId="158">
      <calculatedColumnFormula>IF('DAP3'!H17&lt;&gt;"",'DAP3'!H17,"")</calculatedColumnFormula>
      <xmlColumnPr mapId="8" xpath="/Pisemnost/DPFDP7/VetaA/@vyzdite_pocmes2" xmlDataType="decimal"/>
    </tableColumn>
    <tableColumn id="5" xr3:uid="{00000000-0010-0000-0000-000005000000}" uniqueName="vyzdite_pocmes3" name="vyzdite_pocmes3" dataDxfId="157">
      <calculatedColumnFormula>IF('DAP3'!J17&lt;&gt;"",'DAP3'!J17,"")</calculatedColumnFormula>
      <xmlColumnPr mapId="8" xpath="/Pisemnost/DPFDP7/VetaA/@vyzdite_pocmes3" xmlDataType="decimal"/>
    </tableColumn>
    <tableColumn id="6" xr3:uid="{00000000-0010-0000-0000-000006000000}" uniqueName="vyzdite_prijmeni" name="vyzdite_prijmeni" dataDxfId="156">
      <calculatedColumnFormula>IF('DAP3'!B17&lt;&gt;"XXX",LEFT('DAP3'!B17,(FIND(" ",'DAP3'!B17,1))-1),"")</calculatedColumnFormula>
      <xmlColumnPr mapId="8" xpath="/Pisemnost/DPFDP7/VetaA/@vyzdite_prijmeni" xmlDataType="string"/>
    </tableColumn>
    <tableColumn id="7" xr3:uid="{00000000-0010-0000-0000-000007000000}" uniqueName="vyzdite_r_cislo" name="vyzdite_r_cislo" dataDxfId="155">
      <calculatedColumnFormula>IF('DAP3'!D17&lt;&gt;"",'DAP3'!D17,"")</calculatedColumnFormula>
      <xmlColumnPr mapId="8" xpath="/Pisemnost/DPFDP7/VetaA/@vyzdite_r_cislo" xmlDataType="string"/>
    </tableColumn>
    <tableColumn id="8" xr3:uid="{00000000-0010-0000-0000-000008000000}" uniqueName="vyzdite_ztpp" name="vyzdite_ztpp" dataDxfId="154">
      <calculatedColumnFormula>IF('DAP3'!G17&lt;&gt;"",'DAP3'!G17,"")</calculatedColumnFormula>
      <xmlColumnPr mapId="8" xpath="/Pisemnost/DPFDP7/VetaA/@vyzdite_ztpp" xmlDataType="decimal"/>
    </tableColumn>
    <tableColumn id="9" xr3:uid="{00000000-0010-0000-0000-000009000000}" uniqueName="vyzdite_ztpp2" name="vyzdite_ztpp2" dataDxfId="153">
      <calculatedColumnFormula>IF('DAP3'!I17&lt;&gt;"",'DAP3'!I17,"")</calculatedColumnFormula>
      <xmlColumnPr mapId="8" xpath="/Pisemnost/DPFDP7/VetaA/@vyzdite_ztpp2" xmlDataType="decimal"/>
    </tableColumn>
    <tableColumn id="10" xr3:uid="{00000000-0010-0000-0000-00000A000000}" uniqueName="vyzdite_ztpp3" name="vyzdite_ztpp3" dataDxfId="152">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09000000}" name="Tabulka270" displayName="Tabulka270" ref="R110:T111" tableType="xml" insertRow="1" totalsRowShown="0" headerRowDxfId="106" dataDxfId="105">
  <autoFilter ref="R110:T111" xr:uid="{00000000-0009-0000-0100-00000E010000}"/>
  <tableColumns count="3">
    <tableColumn id="1" xr3:uid="{00000000-0010-0000-0900-000001000000}" uniqueName="kod_sekce" name="kod_sekce" dataDxfId="104">
      <xmlColumnPr mapId="8" xpath="/Pisemnost/DPFDP7/VetaR/@kod_sekce" xmlDataType="string"/>
    </tableColumn>
    <tableColumn id="2" xr3:uid="{00000000-0010-0000-0900-000002000000}" uniqueName="poradi" name="poradi" dataDxfId="103">
      <xmlColumnPr mapId="8" xpath="/Pisemnost/DPFDP7/VetaR/@poradi" xmlDataType="decimal"/>
    </tableColumn>
    <tableColumn id="3" xr3:uid="{00000000-0010-0000-0900-000003000000}" uniqueName="t_prilohy" name="t_prilohy" dataDxfId="102">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0A000000}" name="Tabulka272" displayName="Tabulka272" ref="R120:AB121" tableType="xml" totalsRowShown="0" headerRowDxfId="101" dataDxfId="100">
  <autoFilter ref="R120:AB121" xr:uid="{00000000-0009-0000-0100-000010010000}"/>
  <tableColumns count="11">
    <tableColumn id="1" xr3:uid="{00000000-0010-0000-0A00-000001000000}" uniqueName="da_uznzap" name="da_uznzap" dataDxfId="99">
      <calculatedColumnFormula>'3Př_a'!F17</calculatedColumnFormula>
      <xmlColumnPr mapId="8" xpath="/Pisemnost/DPFDP7/VetaL/@da_uznzap" xmlDataType="decimal"/>
    </tableColumn>
    <tableColumn id="2" xr3:uid="{00000000-0010-0000-0A00-000002000000}" uniqueName="da_zahr" name="da_zahr" dataDxfId="98">
      <calculatedColumnFormula>'3Př_a'!F14</calculatedColumnFormula>
      <xmlColumnPr mapId="8" xpath="/Pisemnost/DPFDP7/VetaL/@da_zahr" xmlDataType="decimal"/>
    </tableColumn>
    <tableColumn id="3" xr3:uid="{00000000-0010-0000-0A00-000003000000}" uniqueName="kc_10prij" name="kc_10prij" dataDxfId="97">
      <calculatedColumnFormula>'3Př_a'!F12</calculatedColumnFormula>
      <xmlColumnPr mapId="8" xpath="/Pisemnost/DPFDP7/VetaL/@kc_10prij" xmlDataType="decimal"/>
    </tableColumn>
    <tableColumn id="4" xr3:uid="{00000000-0010-0000-0A00-000004000000}" uniqueName="kc_10vyd" name="kc_10vyd" dataDxfId="96">
      <calculatedColumnFormula>'3Př_a'!F13</calculatedColumnFormula>
      <xmlColumnPr mapId="8" xpath="/Pisemnost/DPFDP7/VetaL/@kc_10vyd" xmlDataType="decimal"/>
    </tableColumn>
    <tableColumn id="5" xr3:uid="{00000000-0010-0000-0A00-000005000000}" uniqueName="kc_k_zapzahr" name="kc_k_zapzahr" dataDxfId="95">
      <calculatedColumnFormula>'3Př_a'!F16</calculatedColumnFormula>
      <xmlColumnPr mapId="8" xpath="/Pisemnost/DPFDP7/VetaL/@kc_k_zapzahr" xmlDataType="decimal"/>
    </tableColumn>
    <tableColumn id="6" xr3:uid="{00000000-0010-0000-0A00-000006000000}" uniqueName="kc_prijzap" name="kc_prijzap" dataDxfId="94">
      <calculatedColumnFormula>'3Př_a'!F12</calculatedColumnFormula>
      <xmlColumnPr mapId="8" xpath="/Pisemnost/DPFDP7/VetaL/@kc_prijzap" xmlDataType="decimal"/>
    </tableColumn>
    <tableColumn id="7" xr3:uid="{00000000-0010-0000-0A00-000007000000}" uniqueName="kc_vydzap" name="kc_vydzap" dataDxfId="93">
      <calculatedColumnFormula>'3Př_a'!F13</calculatedColumnFormula>
      <xmlColumnPr mapId="8" xpath="/Pisemnost/DPFDP7/VetaL/@kc_vydzap" xmlDataType="decimal"/>
    </tableColumn>
    <tableColumn id="8" xr3:uid="{00000000-0010-0000-0A00-000008000000}" uniqueName="kod_statu" name="kod_statu" dataDxfId="92">
      <calculatedColumnFormula>IF('3Př_a'!C8&lt;&gt;"",'3Př_a'!C8,"")</calculatedColumnFormula>
      <xmlColumnPr mapId="8" xpath="/Pisemnost/DPFDP7/VetaL/@kod_statu" xmlDataType="string"/>
    </tableColumn>
    <tableColumn id="9" xr3:uid="{00000000-0010-0000-0A00-000009000000}" uniqueName="proczahr" name="proczahr" dataDxfId="91">
      <calculatedColumnFormula>'3Př_a'!F15*100</calculatedColumnFormula>
      <xmlColumnPr mapId="8" xpath="/Pisemnost/DPFDP7/VetaL/@proczahr" xmlDataType="decimal"/>
    </tableColumn>
    <tableColumn id="10" xr3:uid="{00000000-0010-0000-0A00-00000A000000}" uniqueName="roz_od12" name="roz_od12" dataDxfId="90">
      <calculatedColumnFormula>'3Př_a'!F18</calculatedColumnFormula>
      <xmlColumnPr mapId="8" xpath="/Pisemnost/DPFDP7/VetaL/@roz_od12" xmlDataType="decimal"/>
    </tableColumn>
    <tableColumn id="11" xr3:uid="{00000000-0010-0000-0A00-00000B000000}" uniqueName="kc_10dan" name="kc_10dan" dataDxfId="89">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0B000000}" name="Tabulka273" displayName="Tabulka273" ref="R130:V138" tableType="xml" totalsRowShown="0" headerRowDxfId="88" dataDxfId="87">
  <autoFilter ref="R130:V138" xr:uid="{00000000-0009-0000-0100-000011010000}"/>
  <tableColumns count="5">
    <tableColumn id="1" xr3:uid="{00000000-0010-0000-0B00-000001000000}" uniqueName="prilztr_sl1" name="prilztr_sl1" dataDxfId="86">
      <calculatedColumnFormula>IF('6Př'!B12&lt;&gt;"",'6Př'!B12,"")</calculatedColumnFormula>
      <xmlColumnPr mapId="8" xpath="/Pisemnost/DPFDP7/VetaM/@prilztr_sl1" xmlDataType="string"/>
    </tableColumn>
    <tableColumn id="2" xr3:uid="{00000000-0010-0000-0B00-000002000000}" uniqueName="prilztr_sl2" name="prilztr_sl2" dataDxfId="85">
      <calculatedColumnFormula>IF('6Př'!C12&lt;&gt;"",'6Př'!C12,"")</calculatedColumnFormula>
      <xmlColumnPr mapId="8" xpath="/Pisemnost/DPFDP7/VetaM/@prilztr_sl2" xmlDataType="decimal"/>
    </tableColumn>
    <tableColumn id="3" xr3:uid="{00000000-0010-0000-0B00-000003000000}" uniqueName="prilztr_sl3" name="prilztr_sl3" dataDxfId="84">
      <calculatedColumnFormula>IF('6Př'!D12&lt;&gt;"",'6Př'!D12,"")</calculatedColumnFormula>
      <xmlColumnPr mapId="8" xpath="/Pisemnost/DPFDP7/VetaM/@prilztr_sl3" xmlDataType="decimal"/>
    </tableColumn>
    <tableColumn id="4" xr3:uid="{00000000-0010-0000-0B00-000004000000}" uniqueName="prilztr_sl4" name="prilztr_sl4" dataDxfId="83">
      <calculatedColumnFormula>IF('6Př'!E12&lt;&gt;"",'6Př'!E12,"")</calculatedColumnFormula>
      <xmlColumnPr mapId="8" xpath="/Pisemnost/DPFDP7/VetaM/@prilztr_sl4" xmlDataType="decimal"/>
    </tableColumn>
    <tableColumn id="5" xr3:uid="{00000000-0010-0000-0B00-000005000000}" uniqueName="prilztr_sl5" name="prilztr_sl5" dataDxfId="82">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0C000000}" name="Tabulka307" displayName="Tabulka307" ref="R143:W144" tableType="xml" insertRow="1" totalsRowShown="0" headerRowDxfId="81" dataDxfId="80">
  <autoFilter ref="R143:W144" xr:uid="{00000000-0009-0000-0100-000033010000}"/>
  <tableColumns count="6">
    <tableColumn id="1" xr3:uid="{00000000-0010-0000-0C00-000001000000}" uniqueName="zamestnavatel" name="zamestnavatel" dataDxfId="79">
      <xmlColumnPr mapId="8" xpath="/Pisemnost/DPFDP7/Vetab/@zamestnavatel" xmlDataType="string"/>
    </tableColumn>
    <tableColumn id="2" xr3:uid="{00000000-0010-0000-0C00-000002000000}" uniqueName="kc_prij6p" name="kc_prij6p" dataDxfId="78">
      <xmlColumnPr mapId="8" xpath="/Pisemnost/DPFDP7/Vetab/@kc_prij6p" xmlDataType="decimal"/>
    </tableColumn>
    <tableColumn id="3" xr3:uid="{00000000-0010-0000-0C00-000003000000}" uniqueName="kc_srazp" name="kc_srazp" dataDxfId="77">
      <xmlColumnPr mapId="8" xpath="/Pisemnost/DPFDP7/Vetab/@kc_srazp" xmlDataType="decimal"/>
    </tableColumn>
    <tableColumn id="4" xr3:uid="{00000000-0010-0000-0C00-000004000000}" uniqueName="kc_vyplbonusp" name="kc_vyplbonusp" dataDxfId="76">
      <xmlColumnPr mapId="8" xpath="/Pisemnost/DPFDP7/Vetab/@kc_vyplbonusp" xmlDataType="decimal"/>
    </tableColumn>
    <tableColumn id="5" xr3:uid="{00000000-0010-0000-0C00-000005000000}" uniqueName="kc_zalzavcp" name="kc_zalzavcp" dataDxfId="75">
      <xmlColumnPr mapId="8" xpath="/Pisemnost/DPFDP7/Vetab/@kc_zalzavcp" xmlDataType="decimal"/>
    </tableColumn>
    <tableColumn id="6" xr3:uid="{00000000-0010-0000-0C00-000006000000}" uniqueName="kc_sraz368p" name="kc_sraz368p" dataDxfId="74">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0D000000}" name="Tabulka308" displayName="Tabulka308" ref="R153:V169" tableType="xml" totalsRowShown="0" headerRowDxfId="73" dataDxfId="72">
  <autoFilter ref="R153:V169" xr:uid="{00000000-0009-0000-0100-000034010000}"/>
  <tableColumns count="5">
    <tableColumn id="1" xr3:uid="{00000000-0010-0000-0D00-000001000000}" uniqueName="dan_seznam" name="dan_seznam" dataDxfId="71">
      <calculatedColumnFormula>IF(Př_b!E10&lt;&gt;"",Př_b!E10,"")</calculatedColumnFormula>
      <xmlColumnPr mapId="8" xpath="/Pisemnost/DPFDP7/Vetad/@dan_seznam" xmlDataType="decimal"/>
    </tableColumn>
    <tableColumn id="2" xr3:uid="{00000000-0010-0000-0D00-000002000000}" uniqueName="ident_udaje" name="ident_udaje" dataDxfId="70">
      <calculatedColumnFormula>IF(AND(Př_b!B10&lt;&gt;"",Př_b!B10&lt;&gt;0),Př_b!B10,"")</calculatedColumnFormula>
      <xmlColumnPr mapId="8" xpath="/Pisemnost/DPFDP7/Vetad/@ident_udaje" xmlDataType="string"/>
    </tableColumn>
    <tableColumn id="3" xr3:uid="{00000000-0010-0000-0D00-000003000000}" uniqueName="k_stat_zdroj" name="k_stat_zdroj" dataDxfId="69">
      <calculatedColumnFormula>IF(AND(Př_b!C10&lt;&gt;"",Př_b!C10&lt;&gt;0),VLOOKUP(Př_b!C10,FU!$J$3:$K$253,2,FALSE),"")</calculatedColumnFormula>
      <xmlColumnPr mapId="8" xpath="/Pisemnost/DPFDP7/Vetad/@k_stat_zdroj" xmlDataType="string"/>
    </tableColumn>
    <tableColumn id="4" xr3:uid="{00000000-0010-0000-0D00-000004000000}" uniqueName="prijmy_seznam" name="prijmy_seznam" dataDxfId="68">
      <calculatedColumnFormula>IF(Př_b!F10&lt;&gt;"",Př_b!F10,"")</calculatedColumnFormula>
      <xmlColumnPr mapId="8" xpath="/Pisemnost/DPFDP7/Vetad/@prijmy_seznam" xmlDataType="decimal"/>
    </tableColumn>
    <tableColumn id="5" xr3:uid="{00000000-0010-0000-0D00-000005000000}" uniqueName="zapl_dan" name="zapl_dan" dataDxfId="6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0E000000}" name="Tabulka309" displayName="Tabulka309" ref="R177:W258" tableType="xml" totalsRowShown="0" headerRowDxfId="66" dataDxfId="65">
  <autoFilter ref="R177:W258" xr:uid="{00000000-0009-0000-0100-000035010000}"/>
  <tableColumns count="6">
    <tableColumn id="1" xr3:uid="{00000000-0010-0000-0E00-000001000000}" uniqueName="c_listu" name="c_listu" dataDxfId="64">
      <calculatedColumnFormula>$Q$178</calculatedColumnFormula>
      <xmlColumnPr mapId="8" xpath="/Pisemnost/DPFDP7/VetaUA/@c_listu" xmlDataType="decimal"/>
    </tableColumn>
    <tableColumn id="2" xr3:uid="{00000000-0010-0000-0E00-000002000000}" uniqueName="c_radku" name="c_radku" dataDxfId="63">
      <calculatedColumnFormula>IF($B$38="P",Y178,IF($B$38="Z",IF(Z178&lt;&gt;"",Z178,""),IF($B$38="M",IF(AA178&lt;&gt;"",AA178,""),Y178)))</calculatedColumnFormula>
      <xmlColumnPr mapId="8" xpath="/Pisemnost/DPFDP7/VetaUA/@c_radku" xmlDataType="decimal"/>
    </tableColumn>
    <tableColumn id="3" xr3:uid="{00000000-0010-0000-0E00-000003000000}" uniqueName="kc_brutto" name="kc_brutto" dataDxfId="62">
      <calculatedColumnFormula>IF(Účetní_závěrka!D12&lt;&gt;"",Účetní_závěrka!D12,"")</calculatedColumnFormula>
      <xmlColumnPr mapId="8" xpath="/Pisemnost/DPFDP7/VetaUA/@kc_brutto" xmlDataType="decimal"/>
    </tableColumn>
    <tableColumn id="4" xr3:uid="{00000000-0010-0000-0E00-000004000000}" uniqueName="kc_korekce" name="kc_korekce" dataDxfId="61">
      <calculatedColumnFormula>IF(Účetní_závěrka!E12&lt;&gt;"",ABS(Účetní_závěrka!E12),"")</calculatedColumnFormula>
      <xmlColumnPr mapId="8" xpath="/Pisemnost/DPFDP7/VetaUA/@kc_korekce" xmlDataType="decimal"/>
    </tableColumn>
    <tableColumn id="5" xr3:uid="{00000000-0010-0000-0E00-000005000000}" uniqueName="kc_netto" name="kc_netto" dataDxfId="60">
      <calculatedColumnFormula>IF(Účetní_závěrka!F12&lt;&gt;"",Účetní_závěrka!F12,"")</calculatedColumnFormula>
      <xmlColumnPr mapId="8" xpath="/Pisemnost/DPFDP7/VetaUA/@kc_netto" xmlDataType="decimal"/>
    </tableColumn>
    <tableColumn id="6" xr3:uid="{00000000-0010-0000-0E00-000006000000}" uniqueName="kc_netto_min" name="kc_netto_min" dataDxfId="59">
      <calculatedColumnFormula>IF(Účetní_závěrka!G12&lt;&gt;"",Účetní_závěrka!G12,"")</calculatedColumnFormula>
      <xmlColumnPr mapId="8" xpath="/Pisemnost/DPFDP7/VetaUA/@kc_netto_min" xmlDataType="decimal"/>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0F000000}" name="Tabulka310" displayName="Tabulka310" ref="AB177:AE233" tableType="xml" totalsRowShown="0" headerRowDxfId="58" dataDxfId="57">
  <autoFilter ref="AB177:AE233" xr:uid="{00000000-0009-0000-0100-000036010000}"/>
  <tableColumns count="4">
    <tableColumn id="1" xr3:uid="{00000000-0010-0000-0F00-000001000000}" uniqueName="c_listu" name="c_listu" dataDxfId="56">
      <calculatedColumnFormula>$AB$176</calculatedColumnFormula>
      <xmlColumnPr mapId="8" xpath="/Pisemnost/DPFDP7/VetaUB/@c_listu" xmlDataType="decimal"/>
    </tableColumn>
    <tableColumn id="2" xr3:uid="{00000000-0010-0000-0F00-000002000000}" uniqueName="c_radku" name="c_radku" dataDxfId="55">
      <calculatedColumnFormula>IF($B$38="P",AG178,IF(AH178&lt;&gt;"",AH178,""))</calculatedColumnFormula>
      <xmlColumnPr mapId="8" xpath="/Pisemnost/DPFDP7/VetaUB/@c_radku" xmlDataType="decimal"/>
    </tableColumn>
    <tableColumn id="3" xr3:uid="{00000000-0010-0000-0F00-000003000000}" uniqueName="kc_min" name="kc_min" dataDxfId="54">
      <calculatedColumnFormula>IF(Účetní_závěrka!E96&lt;&gt;"",Účetní_závěrka!E96,"")</calculatedColumnFormula>
      <xmlColumnPr mapId="8" xpath="/Pisemnost/DPFDP7/VetaUB/@kc_min" xmlDataType="decimal"/>
    </tableColumn>
    <tableColumn id="4" xr3:uid="{00000000-0010-0000-0F00-000004000000}" uniqueName="kc_sled" name="kc_sled" dataDxfId="53">
      <calculatedColumnFormula>IF(Účetní_závěrka!D96&lt;&gt;"",Účetní_závěrka!D96,"")</calculatedColumnFormula>
      <xmlColumnPr mapId="8" xpath="/Pisemnost/DPFDP7/VetaUB/@kc_sled" xmlDataType="decimal"/>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10000000}" name="Tabulka311" displayName="Tabulka311" ref="AJ177:AM178" insertRow="1" totalsRowShown="0" headerRowDxfId="52" dataDxfId="51">
  <autoFilter ref="AJ177:AM178" xr:uid="{00000000-0009-0000-0100-000037010000}"/>
  <tableColumns count="4">
    <tableColumn id="1" xr3:uid="{00000000-0010-0000-1000-000001000000}" name="c_listu" dataDxfId="50"/>
    <tableColumn id="2" xr3:uid="{00000000-0010-0000-1000-000002000000}" name="c_radku" dataDxfId="49"/>
    <tableColumn id="3" xr3:uid="{00000000-0010-0000-1000-000003000000}" name="kc_min" dataDxfId="48"/>
    <tableColumn id="4" xr3:uid="{00000000-0010-0000-1000-000004000000}" name="kc_sled" dataDxfId="4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11000000}" name="Tabulka312" displayName="Tabulka312" ref="AQ177:AT245" tableType="xml" totalsRowShown="0" headerRowDxfId="46" dataDxfId="45">
  <autoFilter ref="AQ177:AT245" xr:uid="{00000000-0009-0000-0100-000038010000}"/>
  <tableColumns count="4">
    <tableColumn id="1" xr3:uid="{00000000-0010-0000-1100-000001000000}" uniqueName="c_listu" name="c_listu" dataDxfId="44">
      <calculatedColumnFormula>$AP$178</calculatedColumnFormula>
      <xmlColumnPr mapId="8" xpath="/Pisemnost/DPFDP7/VetaUD/@c_listu" xmlDataType="decimal"/>
    </tableColumn>
    <tableColumn id="2" xr3:uid="{00000000-0010-0000-1100-000002000000}" uniqueName="c_radku" name="c_radku" dataDxfId="43">
      <calculatedColumnFormula>IF($B$38="P",AV178,IF($B$38="Z",IF(AW178&lt;&gt;"",AW178,""),IF($B$38="M",IF(AX178&lt;&gt;"",AX178,""),AV178)))</calculatedColumnFormula>
      <xmlColumnPr mapId="8" xpath="/Pisemnost/DPFDP7/VetaUD/@c_radku" xmlDataType="decimal"/>
    </tableColumn>
    <tableColumn id="3" xr3:uid="{00000000-0010-0000-1100-000003000000}" uniqueName="kc_min" name="kc_min" dataDxfId="42">
      <calculatedColumnFormula>IF(Účetní_závěrka!L12&lt;&gt;"",Účetní_závěrka!L12,"")</calculatedColumnFormula>
      <xmlColumnPr mapId="8" xpath="/Pisemnost/DPFDP7/VetaUD/@kc_min" xmlDataType="decimal"/>
    </tableColumn>
    <tableColumn id="4" xr3:uid="{00000000-0010-0000-1100-000004000000}" uniqueName="kc_sled" name="kc_sled" dataDxfId="41">
      <calculatedColumnFormula>IF(Účetní_závěrka!K12&lt;&gt;"",Účetní_závěrka!K12,"")</calculatedColumnFormula>
      <xmlColumnPr mapId="8" xpath="/Pisemnost/DPFDP7/VetaUD/@kc_sled" xmlDataType="decimal"/>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12000000}" name="Tabulka313" displayName="Tabulka313" ref="AZ177:BC178" insertRow="1" totalsRowShown="0" headerRowDxfId="40" dataDxfId="39">
  <autoFilter ref="AZ177:BC178" xr:uid="{00000000-0009-0000-0100-000039010000}"/>
  <tableColumns count="4">
    <tableColumn id="1" xr3:uid="{00000000-0010-0000-1200-000001000000}" name="c_listu" dataDxfId="38"/>
    <tableColumn id="2" xr3:uid="{00000000-0010-0000-1200-000002000000}" name="c_radku" dataDxfId="37"/>
    <tableColumn id="3" xr3:uid="{00000000-0010-0000-1200-000003000000}" name="kc_min" dataDxfId="36"/>
    <tableColumn id="4" xr3:uid="{00000000-0010-0000-1200-000004000000}" name="kc_sled"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01000000}" name="Tabulka220" displayName="Tabulka220" ref="R20:U23" tableType="xml" totalsRowShown="0" headerRowDxfId="151" dataDxfId="150">
  <autoFilter ref="R20:U23" xr:uid="{00000000-0009-0000-0100-0000DC000000}"/>
  <tableColumns count="4">
    <tableColumn id="1" xr3:uid="{00000000-0010-0000-0100-000001000000}" uniqueName="c_nace_dal" name="c_nace_dal" dataDxfId="149">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xr3:uid="{00000000-0010-0000-0100-000002000000}" uniqueName="prijmy7" name="prijmy7" dataDxfId="148">
      <calculatedColumnFormula>IF('1Př1'!F32&lt;&gt;0,'1Př1'!F32,"")</calculatedColumnFormula>
      <xmlColumnPr mapId="8" xpath="/Pisemnost/DPFDP7/Vetac/@prijmy7" xmlDataType="decimal"/>
    </tableColumn>
    <tableColumn id="3" xr3:uid="{00000000-0010-0000-0100-000003000000}" uniqueName="sazba_dal" name="sazba_dal" dataDxfId="147">
      <calculatedColumnFormula>IF(AND('1Př1'!D32&lt;&gt;0,'1Př1'!D32&lt;&gt;""),100*'1Př1'!D32,"")</calculatedColumnFormula>
      <xmlColumnPr mapId="8" xpath="/Pisemnost/DPFDP7/Vetac/@sazba_dal" xmlDataType="decimal"/>
    </tableColumn>
    <tableColumn id="4" xr3:uid="{00000000-0010-0000-0100-000004000000}" uniqueName="vydaje7" name="vydaje7" dataDxfId="146">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13000000}" name="Tabulka314" displayName="Tabulka314" ref="R271:X272" insertRow="1" totalsRowShown="0" headerRowDxfId="34" dataDxfId="33">
  <autoFilter ref="R271:X272" xr:uid="{00000000-0009-0000-0100-00003A010000}"/>
  <tableColumns count="7">
    <tableColumn id="1" xr3:uid="{00000000-0010-0000-1300-000001000000}" name="c_listu" dataDxfId="32"/>
    <tableColumn id="2" xr3:uid="{00000000-0010-0000-1300-000002000000}" name="c_radku" dataDxfId="31"/>
    <tableColumn id="3" xr3:uid="{00000000-0010-0000-1300-000003000000}" name="kc_brutto" dataDxfId="30"/>
    <tableColumn id="4" xr3:uid="{00000000-0010-0000-1300-000004000000}" name="kc_korekce" dataDxfId="29"/>
    <tableColumn id="5" xr3:uid="{00000000-0010-0000-1300-000005000000}" name="kc_netto" dataDxfId="28"/>
    <tableColumn id="6" xr3:uid="{00000000-0010-0000-1300-000006000000}" name="kc_netto_min" dataDxfId="27"/>
    <tableColumn id="7" xr3:uid="{00000000-0010-0000-1300-000007000000}" name="tab_uv" dataDxfId="26"/>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14000000}" name="Tabulka315" displayName="Tabulka315" ref="R281:V282" insertRow="1" totalsRowShown="0" headerRowDxfId="25" dataDxfId="24">
  <autoFilter ref="R281:V282" xr:uid="{00000000-0009-0000-0100-00003B010000}"/>
  <tableColumns count="5">
    <tableColumn id="1" xr3:uid="{00000000-0010-0000-1400-000001000000}" name="c_listu" dataDxfId="23"/>
    <tableColumn id="2" xr3:uid="{00000000-0010-0000-1400-000002000000}" name="c_radku" dataDxfId="22"/>
    <tableColumn id="3" xr3:uid="{00000000-0010-0000-1400-000003000000}" name="kc_min" dataDxfId="21"/>
    <tableColumn id="4" xr3:uid="{00000000-0010-0000-1400-000004000000}" name="kc_sled" dataDxfId="20"/>
    <tableColumn id="5" xr3:uid="{00000000-0010-0000-1400-000005000000}" name="tab_uv" dataDxfId="19"/>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15000000}" name="Tabulka316" displayName="Tabulka316" ref="R291:U292" tableType="xml" totalsRowShown="0" headerRowDxfId="18" dataDxfId="17">
  <autoFilter ref="R291:U292" xr:uid="{00000000-0009-0000-0100-00003C010000}"/>
  <tableColumns count="4">
    <tableColumn id="1" xr3:uid="{00000000-0010-0000-1500-000001000000}" uniqueName="c_porlist" name="c_porlist" dataDxfId="16">
      <calculatedColumnFormula>IF('2Př'!C30&lt;&gt;"",MID('2Př'!C30,FIND("-",'2Př'!C30,1)+1,FIND("/",'2Př'!C30,1)-FIND("-",'2Př'!C30,1)-1),"")</calculatedColumnFormula>
      <xmlColumnPr mapId="8" xpath="/Pisemnost/DPFDP7/Vetae/@c_porlist" xmlDataType="decimal"/>
    </tableColumn>
    <tableColumn id="2" xr3:uid="{00000000-0010-0000-1500-000002000000}" uniqueName="c_prac_ku" name="c_prac_ku" dataDxfId="15">
      <calculatedColumnFormula>IF('2Př'!C30&lt;&gt;"",MID('2Př'!C30,FIND("-",'2Př'!C30,3)+1,LEN('2Př'!C30)-FIND("-",'2Př'!C30,3)),"")</calculatedColumnFormula>
      <xmlColumnPr mapId="8" xpath="/Pisemnost/DPFDP7/Vetae/@c_prac_ku" xmlDataType="decimal"/>
    </tableColumn>
    <tableColumn id="3" xr3:uid="{00000000-0010-0000-1500-000003000000}" uniqueName="rok_list" name="rok_list" dataDxfId="14">
      <calculatedColumnFormula>IF('2Př'!C30&lt;&gt;"",MID('2Př'!C30,FIND("/",'2Př'!C30,1)+1,4),"")</calculatedColumnFormula>
      <xmlColumnPr mapId="8" xpath="/Pisemnost/DPFDP7/Vetae/@rok_list" xmlDataType="decimal"/>
    </tableColumn>
    <tableColumn id="4" xr3:uid="{00000000-0010-0000-1500-000004000000}" uniqueName="typ_list" name="typ_list" dataDxfId="13">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16000000}" name="Tabulka317" displayName="Tabulka317" ref="R301:U302" insertRow="1" totalsRowShown="0" headerRowDxfId="12" dataDxfId="11">
  <autoFilter ref="R301:U302" xr:uid="{00000000-0009-0000-0100-00003D010000}"/>
  <tableColumns count="4">
    <tableColumn id="1" xr3:uid="{00000000-0010-0000-1600-000001000000}" name="cislo" dataDxfId="10"/>
    <tableColumn id="2" xr3:uid="{00000000-0010-0000-1600-000002000000}" name="nazev" dataDxfId="9"/>
    <tableColumn id="3" xr3:uid="{00000000-0010-0000-1600-000003000000}" name="jm_souboru" dataDxfId="8"/>
    <tableColumn id="4" xr3:uid="{00000000-0010-0000-1600-000004000000}" name="kodovani" dataDxfId="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17000000}" name="Tabulka318" displayName="Tabulka318" ref="R311:V312" insertRow="1" totalsRowShown="0" headerRowDxfId="6" dataDxfId="5">
  <autoFilter ref="R311:V312" xr:uid="{00000000-0009-0000-0100-00003E010000}"/>
  <tableColumns count="5">
    <tableColumn id="1" xr3:uid="{00000000-0010-0000-1700-000001000000}" name="cislo" dataDxfId="4"/>
    <tableColumn id="2" xr3:uid="{00000000-0010-0000-1700-000002000000}" name="nazev" dataDxfId="3"/>
    <tableColumn id="3" xr3:uid="{00000000-0010-0000-1700-000003000000}" name="jm_souboru" dataDxfId="2"/>
    <tableColumn id="4" xr3:uid="{00000000-0010-0000-1700-000004000000}" name="kodovani" dataDxfId="1"/>
    <tableColumn id="5" xr3:uid="{00000000-0010-0000-1700-000005000000}" name="kod"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2000000}" name="Tabulka238" displayName="Tabulka238" ref="R40:S44" tableType="xml" totalsRowShown="0" headerRowDxfId="145" dataDxfId="144">
  <autoFilter ref="R40:S44" xr:uid="{00000000-0009-0000-0100-0000EE000000}"/>
  <tableColumns count="2">
    <tableColumn id="1" xr3:uid="{00000000-0010-0000-0200-000001000000}" uniqueName="kc_uprzvys_235" name="kc_uprzvys_235" dataDxfId="143">
      <calculatedColumnFormula>IF('1Př2'!F20&lt;&gt;"",'1Př2'!F20,"")</calculatedColumnFormula>
      <xmlColumnPr mapId="8" xpath="/Pisemnost/DPFDP7/VetaC/@kc_uprzvys_235" xmlDataType="decimal"/>
    </tableColumn>
    <tableColumn id="2" xr3:uid="{00000000-0010-0000-0200-000002000000}" uniqueName="uprzvys_235" name="uprzvys_235" dataDxfId="14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3000000}" name="Tabulka239" displayName="Tabulka239" ref="R50:S54" tableType="xml" totalsRowShown="0" headerRowDxfId="141" dataDxfId="140">
  <autoFilter ref="R50:S54" xr:uid="{00000000-0009-0000-0100-0000EF000000}"/>
  <tableColumns count="2">
    <tableColumn id="1" xr3:uid="{00000000-0010-0000-0300-000001000000}" uniqueName="kc_uprsniz_235" name="kc_uprsniz_235" dataDxfId="139">
      <calculatedColumnFormula>IF('1Př2'!F26&lt;&gt;"",'1Př2'!F26,"")</calculatedColumnFormula>
      <xmlColumnPr mapId="8" xpath="/Pisemnost/DPFDP7/VetaE/@kc_uprsniz_235" xmlDataType="decimal"/>
    </tableColumn>
    <tableColumn id="2" xr3:uid="{00000000-0010-0000-0300-000002000000}" uniqueName="uprsniz_235" name="uprsniz_235" dataDxfId="138">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04000000}" name="Tabulka240" displayName="Tabulka240" ref="R60:V63" tableType="xml" totalsRowShown="0" headerRowDxfId="137" dataDxfId="136">
  <autoFilter ref="R60:V63" xr:uid="{00000000-0009-0000-0100-0000F0000000}"/>
  <tableColumns count="5">
    <tableColumn id="1" xr3:uid="{00000000-0010-0000-0400-000001000000}" uniqueName="ucsdruz_dic" name="ucsdruz_dic" dataDxfId="135">
      <calculatedColumnFormula>IF('1Př2'!E33&lt;&gt;"",MID('1Př2'!E33,3,LEN('1Př2'!E33)-2),"")</calculatedColumnFormula>
      <xmlColumnPr mapId="8" xpath="/Pisemnost/DPFDP7/VetaF/@ucsdruz_dic" xmlDataType="string"/>
    </tableColumn>
    <tableColumn id="2" xr3:uid="{00000000-0010-0000-0400-000002000000}" uniqueName="ucsdruz_jmeno" name="ucsdruz_jmeno" dataDxfId="134">
      <calculatedColumnFormula>IF('1Př2'!B33&lt;&gt;"",'1Př2'!B33,"")</calculatedColumnFormula>
      <xmlColumnPr mapId="8" xpath="/Pisemnost/DPFDP7/VetaF/@ucsdruz_jmeno" xmlDataType="string"/>
    </tableColumn>
    <tableColumn id="3" xr3:uid="{00000000-0010-0000-0400-000003000000}" uniqueName="ucsdruz_podprij" name="ucsdruz_podprij" dataDxfId="133">
      <calculatedColumnFormula>IF('1Př2'!F33&lt;&gt;"",'1Př2'!F33*100,"")</calculatedColumnFormula>
      <xmlColumnPr mapId="8" xpath="/Pisemnost/DPFDP7/VetaF/@ucsdruz_podprij" xmlDataType="decimal"/>
    </tableColumn>
    <tableColumn id="4" xr3:uid="{00000000-0010-0000-0400-000004000000}" uniqueName="ucsdruz_podvyd" name="ucsdruz_podvyd" dataDxfId="132">
      <calculatedColumnFormula>IF('1Př2'!G33&lt;&gt;"",'1Př2'!G33*100,"")</calculatedColumnFormula>
      <xmlColumnPr mapId="8" xpath="/Pisemnost/DPFDP7/VetaF/@ucsdruz_podvyd" xmlDataType="decimal"/>
    </tableColumn>
    <tableColumn id="5" xr3:uid="{00000000-0010-0000-0400-000005000000}" uniqueName="ucsdruz_prijmeni" name="ucsdruz_prijmeni" dataDxfId="131">
      <calculatedColumnFormula>IF('1Př2'!C33&lt;&gt;"",'1Př2'!C33,"")</calculatedColumnFormula>
      <xmlColumnPr mapId="8" xpath="/Pisemnost/DPFDP7/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05000000}" name="Tabulka241" displayName="Tabulka241" ref="R70:U72" tableType="xml" totalsRowShown="0" headerRowDxfId="130" dataDxfId="129">
  <autoFilter ref="R70:U72" xr:uid="{00000000-0009-0000-0100-0000F1000000}"/>
  <tableColumns count="4">
    <tableColumn id="1" xr3:uid="{00000000-0010-0000-0500-000001000000}" uniqueName="spolos_dic" name="spolos_dic" dataDxfId="128">
      <calculatedColumnFormula>IF('1Př2'!F39&lt;&gt;"",IF(OR(ISNUMBER('1Př2'!F39),ISNUMBER(FIND("/",('1Př2'!F39)))),'1Př2'!F39,MID('1Př2'!F39,3,(LEN('1Př2'!F39)-2))),"")</calculatedColumnFormula>
      <xmlColumnPr mapId="8" xpath="/Pisemnost/DPFDP7/VetaG/@spolos_dic" xmlDataType="string"/>
    </tableColumn>
    <tableColumn id="2" xr3:uid="{00000000-0010-0000-0500-000002000000}" uniqueName="spolos_jmeno" name="spolos_jmeno" dataDxfId="127">
      <calculatedColumnFormula>IF('1Př2'!B39&lt;&gt;"",'1Př2'!B39,"")</calculatedColumnFormula>
      <xmlColumnPr mapId="8" xpath="/Pisemnost/DPFDP7/VetaG/@spolos_jmeno" xmlDataType="string"/>
    </tableColumn>
    <tableColumn id="3" xr3:uid="{00000000-0010-0000-0500-000003000000}" uniqueName="spolos_podil" name="spolos_podil" dataDxfId="126">
      <calculatedColumnFormula>IF('1Př2'!G39&lt;&gt;"",('1Př2'!G39)*100,"")</calculatedColumnFormula>
      <xmlColumnPr mapId="8" xpath="/Pisemnost/DPFDP7/VetaG/@spolos_podil" xmlDataType="decimal"/>
    </tableColumn>
    <tableColumn id="4" xr3:uid="{00000000-0010-0000-0500-000004000000}" uniqueName="spolos_prijmeni" name="spolos_prijmeni" dataDxfId="125">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06000000}" name="Tabulka242" displayName="Tabulka242" ref="R80:U81" tableType="xml" totalsRowShown="0" headerRowDxfId="124" dataDxfId="123">
  <autoFilter ref="R80:U81" xr:uid="{00000000-0009-0000-0100-0000F2000000}"/>
  <tableColumns count="4">
    <tableColumn id="1" xr3:uid="{00000000-0010-0000-0600-000001000000}" uniqueName="rozdos_dic" name="rozdos_dic" dataDxfId="122">
      <calculatedColumnFormula>IF('1Př2'!F44&lt;&gt;"",MID('1Př2'!F44,3,LEN('1Př2'!F44)-2),"")</calculatedColumnFormula>
      <xmlColumnPr mapId="8" xpath="/Pisemnost/DPFDP7/VetaH/@rozdos_dic" xmlDataType="string"/>
    </tableColumn>
    <tableColumn id="2" xr3:uid="{00000000-0010-0000-0600-000002000000}" uniqueName="rozdos_jmeno" name="rozdos_jmeno" dataDxfId="121">
      <calculatedColumnFormula>IF('1Př2'!B44&lt;&gt;"",'1Př2'!B44,"")</calculatedColumnFormula>
      <xmlColumnPr mapId="8" xpath="/Pisemnost/DPFDP7/VetaH/@rozdos_jmeno" xmlDataType="string"/>
    </tableColumn>
    <tableColumn id="3" xr3:uid="{00000000-0010-0000-0600-000003000000}" uniqueName="rozdos_podil" name="rozdos_podil" dataDxfId="120">
      <calculatedColumnFormula>IF('1Př2'!G44&lt;&gt;"",'1Př2'!G44*100,"")</calculatedColumnFormula>
      <xmlColumnPr mapId="8" xpath="/Pisemnost/DPFDP7/VetaH/@rozdos_podil" xmlDataType="decimal"/>
    </tableColumn>
    <tableColumn id="4" xr3:uid="{00000000-0010-0000-0600-000004000000}" uniqueName="rozdos_prijmeni" name="rozdos_prijmeni" dataDxfId="119">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07000000}" name="Tabulka243" displayName="Tabulka243" ref="R90:S91" tableType="xml" totalsRowShown="0" headerRowDxfId="118" dataDxfId="117">
  <autoFilter ref="R90:S91" xr:uid="{00000000-0009-0000-0100-0000F3000000}"/>
  <tableColumns count="2">
    <tableColumn id="1" xr3:uid="{00000000-0010-0000-0700-000001000000}" uniqueName="vos_ks_dic" name="vos_ks_dic" dataDxfId="116">
      <calculatedColumnFormula>IF('1Př2'!F47&lt;&gt;"",MID('1Př2'!F47,3,LEN('1Př2'!F47)-2),"")</calculatedColumnFormula>
      <xmlColumnPr mapId="8" xpath="/Pisemnost/DPFDP7/VetaI/@vos_ks_dic" xmlDataType="string"/>
    </tableColumn>
    <tableColumn id="2" xr3:uid="{00000000-0010-0000-0700-000002000000}" uniqueName="vos_ks_podil" name="vos_ks_podil" dataDxfId="115">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08000000}" name="Tabulka263" displayName="Tabulka263" ref="R100:W104" tableType="xml" totalsRowShown="0" headerRowDxfId="114" dataDxfId="113">
  <autoFilter ref="R100:W104" xr:uid="{00000000-0009-0000-0100-000007010000}"/>
  <tableColumns count="6">
    <tableColumn id="1" xr3:uid="{00000000-0010-0000-0800-000001000000}" uniqueName="druh_prij10" name="druh_prij10" dataDxfId="112">
      <calculatedColumnFormula>IF('2Př'!B24&lt;&gt;"",'2Př'!B24,"")</calculatedColumnFormula>
      <xmlColumnPr mapId="8" xpath="/Pisemnost/DPFDP7/VetaJ/@druh_prij10" xmlDataType="string"/>
    </tableColumn>
    <tableColumn id="2" xr3:uid="{00000000-0010-0000-0800-000002000000}" uniqueName="kod10" name="kod10" dataDxfId="111">
      <calculatedColumnFormula>IF('2Př'!J24&lt;&gt;"",'2Př'!J24,"")</calculatedColumnFormula>
      <xmlColumnPr mapId="8" xpath="/Pisemnost/DPFDP7/VetaJ/@kod10" xmlDataType="string"/>
    </tableColumn>
    <tableColumn id="3" xr3:uid="{00000000-0010-0000-0800-000003000000}" uniqueName="kod_dr_prij10" name="kod_dr_prij10" dataDxfId="110">
      <calculatedColumnFormula>IF('2Př'!B24&lt;&gt;"",MID('2Př'!B24,1,1),"")</calculatedColumnFormula>
      <xmlColumnPr mapId="8" xpath="/Pisemnost/DPFDP7/VetaJ/@kod_dr_prij10" xmlDataType="string"/>
    </tableColumn>
    <tableColumn id="4" xr3:uid="{00000000-0010-0000-0800-000004000000}" uniqueName="prijmy10" name="prijmy10" dataDxfId="109">
      <calculatedColumnFormula>IF(AND('2Př'!D24&lt;&gt;"",'2Př'!D24&lt;&gt;0),'2Př'!D24,"")</calculatedColumnFormula>
      <xmlColumnPr mapId="8" xpath="/Pisemnost/DPFDP7/VetaJ/@prijmy10" xmlDataType="decimal"/>
    </tableColumn>
    <tableColumn id="5" xr3:uid="{00000000-0010-0000-0800-000005000000}" uniqueName="rozdil10" name="rozdil10" dataDxfId="108">
      <calculatedColumnFormula>IF('2Př'!H24&lt;&gt;"",'2Př'!H24,"")</calculatedColumnFormula>
      <xmlColumnPr mapId="8" xpath="/Pisemnost/DPFDP7/VetaJ/@rozdil10" xmlDataType="decimal"/>
    </tableColumn>
    <tableColumn id="6" xr3:uid="{00000000-0010-0000-0800-000006000000}" uniqueName="vydaje10" name="vydaje10" dataDxfId="107">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363" xr6:uid="{00000000-000C-0000-FFFF-FFFF18000000}" r="B2" connectionId="0">
    <xmlCellPr id="1" xr6:uid="{00000000-0010-0000-1800-000001000000}" uniqueName="1">
      <xmlPr mapId="8" xpath="/Pisemnost/DPFDP7/VetaD/@audit" xmlDataType="string"/>
    </xmlCellPr>
  </singleXmlCell>
  <singleXmlCell id="3364" xr6:uid="{00000000-000C-0000-FFFF-FFFF19000000}" r="J2" connectionId="0">
    <xmlCellPr id="1" xr6:uid="{00000000-0010-0000-1900-000001000000}" uniqueName="1">
      <xmlPr mapId="8" xpath="/Pisemnost/DPFDP7/VetaO/@celk_sl4" xmlDataType="decimal"/>
    </xmlCellPr>
  </singleXmlCell>
  <singleXmlCell id="3365" xr6:uid="{00000000-000C-0000-FFFF-FFFF1A000000}" r="N2" connectionId="0">
    <xmlCellPr id="1" xr6:uid="{00000000-0010-0000-1A00-000001000000}" uniqueName="1">
      <xmlPr mapId="8" xpath="/Pisemnost/DPFDP7/VetaS/@da_dan16" xmlDataType="decimal"/>
    </xmlCellPr>
  </singleXmlCell>
  <singleXmlCell id="3366" xr6:uid="{00000000-000C-0000-FFFF-FFFF1B000000}" r="B3" connectionId="0">
    <xmlCellPr id="1" xr6:uid="{00000000-0010-0000-1B00-000001000000}" uniqueName="1">
      <xmlPr mapId="8" xpath="/Pisemnost/DPFDP7/VetaD/@c_ufo_cil" xmlDataType="decimal"/>
    </xmlCellPr>
  </singleXmlCell>
  <singleXmlCell id="3367" xr6:uid="{00000000-000C-0000-FFFF-FFFF1C000000}" r="F3" connectionId="0">
    <xmlCellPr id="1" xr6:uid="{00000000-0010-0000-1C00-000001000000}" uniqueName="1">
      <xmlPr mapId="8" xpath="/Pisemnost/DPFDP7/VetaP/@c_obce" xmlDataType="decimal"/>
    </xmlCellPr>
  </singleXmlCell>
  <singleXmlCell id="3368" xr6:uid="{00000000-000C-0000-FFFF-FFFF1D000000}" r="J3" connectionId="0">
    <xmlCellPr id="1" xr6:uid="{00000000-0010-0000-1D00-000001000000}" uniqueName="1">
      <xmlPr mapId="8" xpath="/Pisemnost/DPFDP7/VetaO/@celk_sl5" xmlDataType="decimal"/>
    </xmlCellPr>
  </singleXmlCell>
  <singleXmlCell id="3371" xr6:uid="{00000000-000C-0000-FFFF-FFFF1E000000}" r="B4" connectionId="0">
    <xmlCellPr id="1" xr6:uid="{00000000-0010-0000-1E00-000001000000}" uniqueName="1">
      <xmlPr mapId="8" xpath="/Pisemnost/DPFDP7/VetaD/@d_duvpod" xmlDataType="string"/>
    </xmlCellPr>
  </singleXmlCell>
  <singleXmlCell id="3372" xr6:uid="{00000000-000C-0000-FFFF-FFFF1F000000}" r="F4" connectionId="0">
    <xmlCellPr id="1" xr6:uid="{00000000-0010-0000-1F00-000001000000}" uniqueName="1">
      <xmlPr mapId="8" xpath="/Pisemnost/DPFDP7/VetaP/@c_orient" xmlDataType="string"/>
    </xmlCellPr>
  </singleXmlCell>
  <singleXmlCell id="3373" xr6:uid="{00000000-000C-0000-FFFF-FFFF20000000}" r="J4" connectionId="0">
    <xmlCellPr id="1" xr6:uid="{00000000-0010-0000-2000-000001000000}" uniqueName="1">
      <xmlPr mapId="8" xpath="/Pisemnost/DPFDP7/VetaO/@kc_dan_zah" xmlDataType="decimal"/>
    </xmlCellPr>
  </singleXmlCell>
  <singleXmlCell id="3374" xr6:uid="{00000000-000C-0000-FFFF-FFFF21000000}" r="N4" connectionId="0">
    <xmlCellPr id="1" xr6:uid="{00000000-0010-0000-2100-000001000000}" uniqueName="1">
      <xmlPr mapId="8" xpath="/Pisemnost/DPFDP7/VetaS/@kc_odcelk" xmlDataType="decimal"/>
    </xmlCellPr>
  </singleXmlCell>
  <singleXmlCell id="3375" xr6:uid="{00000000-000C-0000-FFFF-FFFF22000000}" r="B5" connectionId="0">
    <xmlCellPr id="1" xr6:uid="{00000000-0010-0000-2200-000001000000}" uniqueName="1">
      <xmlPr mapId="8" xpath="/Pisemnost/DPFDP7/VetaD/@d_uv" xmlDataType="string"/>
    </xmlCellPr>
  </singleXmlCell>
  <singleXmlCell id="3376" xr6:uid="{00000000-000C-0000-FFFF-FFFF23000000}" r="F5" connectionId="0">
    <xmlCellPr id="1" xr6:uid="{00000000-0010-0000-2300-000001000000}" uniqueName="1">
      <xmlPr mapId="8" xpath="/Pisemnost/DPFDP7/VetaP/@c_pasu" xmlDataType="string"/>
    </xmlCellPr>
  </singleXmlCell>
  <singleXmlCell id="3377" xr6:uid="{00000000-000C-0000-FFFF-FFFF24000000}" r="N5" connectionId="0">
    <xmlCellPr id="1" xr6:uid="{00000000-0010-0000-2400-000001000000}" uniqueName="1">
      <xmlPr mapId="8" xpath="/Pisemnost/DPFDP7/VetaS/@kc_op15_12" xmlDataType="decimal"/>
    </xmlCellPr>
  </singleXmlCell>
  <singleXmlCell id="3378" xr6:uid="{00000000-000C-0000-FFFF-FFFF25000000}" r="B6" connectionId="0">
    <xmlCellPr id="1" xr6:uid="{00000000-0010-0000-2500-000001000000}" uniqueName="1">
      <xmlPr mapId="8" xpath="/Pisemnost/DPFDP7/VetaD/@d_zjist" xmlDataType="string"/>
    </xmlCellPr>
  </singleXmlCell>
  <singleXmlCell id="3379" xr6:uid="{00000000-000C-0000-FFFF-FFFF26000000}" r="F6" connectionId="0">
    <xmlCellPr id="1" xr6:uid="{00000000-0010-0000-2600-000001000000}" uniqueName="1">
      <xmlPr mapId="8" xpath="/Pisemnost/DPFDP7/VetaP/@c_pop" xmlDataType="decimal"/>
    </xmlCellPr>
  </singleXmlCell>
  <singleXmlCell id="3380" xr6:uid="{00000000-000C-0000-FFFF-FFFF27000000}" r="N6" connectionId="0">
    <xmlCellPr id="1" xr6:uid="{00000000-0010-0000-2700-000001000000}" uniqueName="1">
      <xmlPr mapId="8" xpath="/Pisemnost/DPFDP7/VetaS/@kc_op15_13" xmlDataType="decimal"/>
    </xmlCellPr>
  </singleXmlCell>
  <singleXmlCell id="3381" xr6:uid="{00000000-000C-0000-FFFF-FFFF28000000}" r="B7" connectionId="0">
    <xmlCellPr id="1" xr6:uid="{00000000-0010-0000-2800-000001000000}" uniqueName="1">
      <xmlPr mapId="8" xpath="/Pisemnost/DPFDP7/VetaD/@da_celod13" xmlDataType="decimal"/>
    </xmlCellPr>
  </singleXmlCell>
  <singleXmlCell id="3382" xr6:uid="{00000000-000C-0000-FFFF-FFFF29000000}" r="F7" connectionId="0">
    <xmlCellPr id="1" xr6:uid="{00000000-0010-0000-2900-000001000000}" uniqueName="1">
      <xmlPr mapId="8" xpath="/Pisemnost/DPFDP7/VetaP/@c_pracufo" xmlDataType="decimal"/>
    </xmlCellPr>
  </singleXmlCell>
  <singleXmlCell id="3383" xr6:uid="{00000000-000C-0000-FFFF-FFFF2A000000}" r="J7" connectionId="0">
    <xmlCellPr id="1" xr6:uid="{00000000-0010-0000-2A00-000001000000}" uniqueName="1">
      <xmlPr mapId="8" xpath="/Pisemnost/DPFDP7/VetaO/@kc_prij6" xmlDataType="decimal"/>
    </xmlCellPr>
  </singleXmlCell>
  <singleXmlCell id="3386" xr6:uid="{00000000-000C-0000-FFFF-FFFF2B000000}" r="B8" connectionId="0">
    <xmlCellPr id="1" xr6:uid="{00000000-0010-0000-2B00-000001000000}" uniqueName="1">
      <xmlPr mapId="8" xpath="/Pisemnost/DPFDP7/VetaD/@da_slevy" xmlDataType="decimal"/>
    </xmlCellPr>
  </singleXmlCell>
  <singleXmlCell id="3387" xr6:uid="{00000000-000C-0000-FFFF-FFFF2C000000}" r="F8" connectionId="0">
    <xmlCellPr id="1" xr6:uid="{00000000-0010-0000-2C00-000001000000}" uniqueName="1">
      <xmlPr mapId="8" xpath="/Pisemnost/DPFDP7/VetaP/@c_telef" xmlDataType="string"/>
    </xmlCellPr>
  </singleXmlCell>
  <singleXmlCell id="3388" xr6:uid="{00000000-000C-0000-FFFF-FFFF2D000000}" r="N8" connectionId="0">
    <xmlCellPr id="1" xr6:uid="{00000000-0010-0000-2D00-000001000000}" uniqueName="1">
      <xmlPr mapId="8" xpath="/Pisemnost/DPFDP7/VetaS/@kc_op15_8" xmlDataType="decimal"/>
    </xmlCellPr>
  </singleXmlCell>
  <singleXmlCell id="3389" xr6:uid="{00000000-000C-0000-FFFF-FFFF2E000000}" r="B9" connectionId="0">
    <xmlCellPr id="1" xr6:uid="{00000000-0010-0000-2E00-000001000000}" uniqueName="1">
      <xmlPr mapId="8" xpath="/Pisemnost/DPFDP7/VetaD/@da_slevy35ba" xmlDataType="decimal"/>
    </xmlCellPr>
  </singleXmlCell>
  <singleXmlCell id="3390" xr6:uid="{00000000-000C-0000-FFFF-FFFF2F000000}" r="F9" connectionId="0">
    <xmlCellPr id="1" xr6:uid="{00000000-0010-0000-2F00-000001000000}" uniqueName="1">
      <xmlPr mapId="8" xpath="/Pisemnost/DPFDP7/VetaP/@dic" xmlDataType="string"/>
    </xmlCellPr>
  </singleXmlCell>
  <singleXmlCell id="3391" xr6:uid="{00000000-000C-0000-FFFF-FFFF30000000}" r="J9" connectionId="0">
    <xmlCellPr id="1" xr6:uid="{00000000-0010-0000-3000-000001000000}" uniqueName="1">
      <xmlPr mapId="8" xpath="/Pisemnost/DPFDP7/VetaO/@kc_prij6zahr" xmlDataType="decimal"/>
    </xmlCellPr>
  </singleXmlCell>
  <singleXmlCell id="3392" xr6:uid="{00000000-000C-0000-FFFF-FFFF31000000}" r="N9" connectionId="0">
    <xmlCellPr id="1" xr6:uid="{00000000-0010-0000-3100-000001000000}" uniqueName="1">
      <xmlPr mapId="8" xpath="/Pisemnost/DPFDP7/VetaS/@kc_op28_5" xmlDataType="decimal"/>
    </xmlCellPr>
  </singleXmlCell>
  <singleXmlCell id="3393" xr6:uid="{00000000-000C-0000-FFFF-FFFF32000000}" r="B10" connectionId="0">
    <xmlCellPr id="1" xr6:uid="{00000000-0010-0000-3200-000001000000}" uniqueName="1">
      <xmlPr mapId="8" xpath="/Pisemnost/DPFDP7/VetaD/@da_slevy35c" xmlDataType="decimal"/>
    </xmlCellPr>
  </singleXmlCell>
  <singleXmlCell id="3394" xr6:uid="{00000000-000C-0000-FFFF-FFFF33000000}" r="F10" connectionId="0">
    <xmlCellPr id="1" xr6:uid="{00000000-0010-0000-3300-000001000000}" uniqueName="1">
      <xmlPr mapId="8" xpath="/Pisemnost/DPFDP7/VetaP/@email" xmlDataType="string"/>
    </xmlCellPr>
  </singleXmlCell>
  <singleXmlCell id="3395" xr6:uid="{00000000-000C-0000-FFFF-FFFF34000000}" r="J10" connectionId="0">
    <xmlCellPr id="1" xr6:uid="{00000000-0010-0000-3400-000001000000}" uniqueName="1">
      <xmlPr mapId="8" xpath="/Pisemnost/DPFDP7/VetaO/@kc_uhrn" xmlDataType="decimal"/>
    </xmlCellPr>
  </singleXmlCell>
  <singleXmlCell id="3396" xr6:uid="{00000000-000C-0000-FFFF-FFFF35000000}" r="N10" connectionId="0">
    <xmlCellPr id="1" xr6:uid="{00000000-0010-0000-3500-000001000000}" uniqueName="1">
      <xmlPr mapId="8" xpath="/Pisemnost/DPFDP7/VetaS/@kc_op34_4" xmlDataType="decimal"/>
    </xmlCellPr>
  </singleXmlCell>
  <singleXmlCell id="3397" xr6:uid="{00000000-000C-0000-FFFF-FFFF36000000}" r="B11" connectionId="0">
    <xmlCellPr id="1" xr6:uid="{00000000-0010-0000-3600-000001000000}" uniqueName="1">
      <xmlPr mapId="8" xpath="/Pisemnost/DPFDP7/VetaD/@da_slezap" xmlDataType="decimal"/>
    </xmlCellPr>
  </singleXmlCell>
  <singleXmlCell id="3398" xr6:uid="{00000000-000C-0000-FFFF-FFFF37000000}" r="F11" connectionId="0">
    <xmlCellPr id="1" xr6:uid="{00000000-0010-0000-3700-000001000000}" uniqueName="1">
      <xmlPr mapId="8" xpath="/Pisemnost/DPFDP7/VetaP/@jmeno" xmlDataType="string"/>
    </xmlCellPr>
  </singleXmlCell>
  <singleXmlCell id="3399" xr6:uid="{00000000-000C-0000-FFFF-FFFF38000000}" r="B12" connectionId="0">
    <xmlCellPr id="1" xr6:uid="{00000000-0010-0000-3800-000001000000}" uniqueName="1">
      <xmlPr mapId="8" xpath="/Pisemnost/DPFDP7/VetaD/@dap_typ" xmlDataType="string"/>
    </xmlCellPr>
  </singleXmlCell>
  <singleXmlCell id="3400" xr6:uid="{00000000-000C-0000-FFFF-FFFF39000000}" r="F12" connectionId="0">
    <xmlCellPr id="1" xr6:uid="{00000000-0010-0000-3900-000001000000}" uniqueName="1">
      <xmlPr mapId="8" xpath="/Pisemnost/DPFDP7/VetaP/@k_stat" xmlDataType="string"/>
    </xmlCellPr>
  </singleXmlCell>
  <singleXmlCell id="3401" xr6:uid="{00000000-000C-0000-FFFF-FFFF3A000000}" r="N12" connectionId="0">
    <xmlCellPr id="1" xr6:uid="{00000000-0010-0000-3A00-000001000000}" uniqueName="1">
      <xmlPr mapId="8" xpath="/Pisemnost/DPFDP7/VetaS/@kc_podvzdel" xmlDataType="decimal"/>
    </xmlCellPr>
  </singleXmlCell>
  <singleXmlCell id="3402" xr6:uid="{00000000-000C-0000-FFFF-FFFF3B000000}" r="B13" connectionId="0">
    <xmlCellPr id="1" xr6:uid="{00000000-0010-0000-3B00-000001000000}" uniqueName="1">
      <xmlPr mapId="8" xpath="/Pisemnost/DPFDP7/VetaD/@dokument" xmlDataType="anyType"/>
    </xmlCellPr>
  </singleXmlCell>
  <singleXmlCell id="3403" xr6:uid="{00000000-000C-0000-FFFF-FFFF3C000000}" r="F13" connectionId="0">
    <xmlCellPr id="1" xr6:uid="{00000000-0010-0000-3C00-000001000000}" uniqueName="1">
      <xmlPr mapId="8" xpath="/Pisemnost/DPFDP7/VetaP/@krok_c_obce" xmlDataType="decimal"/>
    </xmlCellPr>
  </singleXmlCell>
  <singleXmlCell id="3404" xr6:uid="{00000000-000C-0000-FFFF-FFFF3D000000}" r="J13" connectionId="0">
    <xmlCellPr id="1" xr6:uid="{00000000-0010-0000-3D00-000001000000}" uniqueName="1">
      <xmlPr mapId="8" xpath="/Pisemnost/DPFDP7/VetaO/@kc_zakldan" xmlDataType="decimal"/>
    </xmlCellPr>
  </singleXmlCell>
  <singleXmlCell id="3405" xr6:uid="{00000000-000C-0000-FFFF-FFFF3E000000}" r="N13" connectionId="0">
    <xmlCellPr id="1" xr6:uid="{00000000-0010-0000-3E00-000001000000}" uniqueName="1">
      <xmlPr mapId="8" xpath="/Pisemnost/DPFDP7/VetaS/@kc_zdsniz" xmlDataType="decimal"/>
    </xmlCellPr>
  </singleXmlCell>
  <singleXmlCell id="3406" xr6:uid="{00000000-000C-0000-FFFF-FFFF3F000000}" r="B14" connectionId="0">
    <xmlCellPr id="1" xr6:uid="{00000000-0010-0000-3F00-000001000000}" uniqueName="1">
      <xmlPr mapId="8" xpath="/Pisemnost/DPFDP7/VetaD/@duvpoddapdpf" xmlDataType="string"/>
    </xmlCellPr>
  </singleXmlCell>
  <singleXmlCell id="3407" xr6:uid="{00000000-000C-0000-FFFF-FFFF40000000}" r="F14" connectionId="0">
    <xmlCellPr id="1" xr6:uid="{00000000-0010-0000-4000-000001000000}" uniqueName="1">
      <xmlPr mapId="8" xpath="/Pisemnost/DPFDP7/VetaP/@krok_c_orient" xmlDataType="string"/>
    </xmlCellPr>
  </singleXmlCell>
  <singleXmlCell id="3408" xr6:uid="{00000000-000C-0000-FFFF-FFFF41000000}" r="J14" connectionId="0">
    <xmlCellPr id="1" xr6:uid="{00000000-0010-0000-4100-000001000000}" uniqueName="1">
      <xmlPr mapId="8" xpath="/Pisemnost/DPFDP7/VetaO/@kc_zakldan23" xmlDataType="decimal"/>
    </xmlCellPr>
  </singleXmlCell>
  <singleXmlCell id="3409" xr6:uid="{00000000-000C-0000-FFFF-FFFF42000000}" r="N14" connectionId="0">
    <xmlCellPr id="1" xr6:uid="{00000000-0010-0000-4200-000001000000}" uniqueName="1">
      <xmlPr mapId="8" xpath="/Pisemnost/DPFDP7/VetaS/@kc_zdzaokr" xmlDataType="decimal"/>
    </xmlCellPr>
  </singleXmlCell>
  <singleXmlCell id="3410" xr6:uid="{00000000-000C-0000-FFFF-FFFF43000000}" r="B15" connectionId="0">
    <xmlCellPr id="1" xr6:uid="{00000000-0010-0000-4300-000001000000}" uniqueName="1">
      <xmlPr mapId="8" xpath="/Pisemnost/DPFDP7/VetaD/@k_uladis" xmlDataType="anyType"/>
    </xmlCellPr>
  </singleXmlCell>
  <singleXmlCell id="3411" xr6:uid="{00000000-000C-0000-FFFF-FFFF44000000}" r="F15" connectionId="0">
    <xmlCellPr id="1" xr6:uid="{00000000-0010-0000-4400-000001000000}" uniqueName="1">
      <xmlPr mapId="8" xpath="/Pisemnost/DPFDP7/VetaP/@krok_c_pop" xmlDataType="decimal"/>
    </xmlCellPr>
  </singleXmlCell>
  <singleXmlCell id="3412" xr6:uid="{00000000-000C-0000-FFFF-FFFF45000000}" r="J15" connectionId="0">
    <xmlCellPr id="1" xr6:uid="{00000000-0010-0000-4500-000001000000}" uniqueName="1">
      <xmlPr mapId="8" xpath="/Pisemnost/DPFDP7/VetaO/@kc_zakldan8" xmlDataType="decimal"/>
    </xmlCellPr>
  </singleXmlCell>
  <singleXmlCell id="3413" xr6:uid="{00000000-000C-0000-FFFF-FFFF46000000}" r="B16" connectionId="0">
    <xmlCellPr id="1" xr6:uid="{00000000-0010-0000-4600-000001000000}" uniqueName="1">
      <xmlPr mapId="8" xpath="/Pisemnost/DPFDP7/VetaD/@kc_csprij" xmlDataType="decimal"/>
    </xmlCellPr>
  </singleXmlCell>
  <singleXmlCell id="3414" xr6:uid="{00000000-000C-0000-FFFF-FFFF47000000}" r="F16" connectionId="0">
    <xmlCellPr id="1" xr6:uid="{00000000-0010-0000-4700-000001000000}" uniqueName="1">
      <xmlPr mapId="8" xpath="/Pisemnost/DPFDP7/VetaP/@krok_naz_obce" xmlDataType="string"/>
    </xmlCellPr>
  </singleXmlCell>
  <singleXmlCell id="3415" xr6:uid="{00000000-000C-0000-FFFF-FFFF48000000}" r="J16" connectionId="0">
    <xmlCellPr id="1" xr6:uid="{00000000-0010-0000-4800-000001000000}" uniqueName="1">
      <xmlPr mapId="8" xpath="/Pisemnost/DPFDP7/VetaO/@kc_zd10" xmlDataType="decimal"/>
    </xmlCellPr>
  </singleXmlCell>
  <singleXmlCell id="3416" xr6:uid="{00000000-000C-0000-FFFF-FFFF49000000}" r="N16" connectionId="0">
    <xmlCellPr id="1" xr6:uid="{00000000-0010-0000-4900-000001000000}" uniqueName="1">
      <xmlPr mapId="8" xpath="/Pisemnost/DPFDP7/VetaS/@m_uroky" xmlDataType="decimal"/>
    </xmlCellPr>
  </singleXmlCell>
  <singleXmlCell id="3417" xr6:uid="{00000000-000C-0000-FFFF-FFFF4A000000}" r="B17" connectionId="0">
    <xmlCellPr id="1" xr6:uid="{00000000-0010-0000-4A00-000001000000}" uniqueName="1">
      <xmlPr mapId="8" xpath="/Pisemnost/DPFDP7/VetaD/@kc_danbonus" xmlDataType="decimal"/>
    </xmlCellPr>
  </singleXmlCell>
  <singleXmlCell id="3418" xr6:uid="{00000000-000C-0000-FFFF-FFFF4B000000}" r="F17" connectionId="0">
    <xmlCellPr id="1" xr6:uid="{00000000-0010-0000-4B00-000001000000}" uniqueName="1">
      <xmlPr mapId="8" xpath="/Pisemnost/DPFDP7/VetaP/@krok_psc" xmlDataType="string"/>
    </xmlCellPr>
  </singleXmlCell>
  <singleXmlCell id="3419" xr6:uid="{00000000-000C-0000-FFFF-FFFF4C000000}" r="J17" connectionId="0">
    <xmlCellPr id="1" xr6:uid="{00000000-0010-0000-4C00-000001000000}" uniqueName="1">
      <xmlPr mapId="8" xpath="/Pisemnost/DPFDP7/VetaO/@kc_zd6" xmlDataType="decimal"/>
    </xmlCellPr>
  </singleXmlCell>
  <singleXmlCell id="3420" xr6:uid="{00000000-000C-0000-FFFF-FFFF4D000000}" r="B18" connectionId="0">
    <xmlCellPr id="1" xr6:uid="{00000000-0010-0000-4D00-000001000000}" uniqueName="1">
      <xmlPr mapId="8" xpath="/Pisemnost/DPFDP7/VetaD/@kc_dazvyhod" xmlDataType="decimal"/>
    </xmlCellPr>
  </singleXmlCell>
  <singleXmlCell id="3421" xr6:uid="{00000000-000C-0000-FFFF-FFFF4E000000}" r="F18" connectionId="0">
    <xmlCellPr id="1" xr6:uid="{00000000-0010-0000-4E00-000001000000}" uniqueName="1">
      <xmlPr mapId="8" xpath="/Pisemnost/DPFDP7/VetaP/@krok_ulice" xmlDataType="string"/>
    </xmlCellPr>
  </singleXmlCell>
  <singleXmlCell id="3422" xr6:uid="{00000000-000C-0000-FFFF-FFFF4F000000}" r="J18" connectionId="0">
    <xmlCellPr id="1" xr6:uid="{00000000-0010-0000-4F00-000001000000}" uniqueName="1">
      <xmlPr mapId="8" xpath="/Pisemnost/DPFDP7/VetaO/@kc_zd6p" xmlDataType="decimal"/>
    </xmlCellPr>
  </singleXmlCell>
  <singleXmlCell id="3425" xr6:uid="{00000000-000C-0000-FFFF-FFFF50000000}" r="F19" connectionId="0">
    <xmlCellPr id="1" xr6:uid="{00000000-0010-0000-5000-000001000000}" uniqueName="1">
      <xmlPr mapId="8" xpath="/Pisemnost/DPFDP7/VetaP/@naz_obce" xmlDataType="string"/>
    </xmlCellPr>
  </singleXmlCell>
  <singleXmlCell id="3426" xr6:uid="{00000000-000C-0000-FFFF-FFFF51000000}" r="J19" connectionId="0">
    <xmlCellPr id="1" xr6:uid="{00000000-0010-0000-5100-000001000000}" uniqueName="1">
      <xmlPr mapId="8" xpath="/Pisemnost/DPFDP7/VetaO/@kc_zd7" xmlDataType="decimal"/>
    </xmlCellPr>
  </singleXmlCell>
  <singleXmlCell id="3427" xr6:uid="{00000000-000C-0000-FFFF-FFFF52000000}" r="B20" connectionId="0">
    <xmlCellPr id="1" xr6:uid="{00000000-0010-0000-5200-000001000000}" uniqueName="1">
      <xmlPr mapId="8" xpath="/Pisemnost/DPFDP7/VetaD/@kc_dztrata" xmlDataType="decimal"/>
    </xmlCellPr>
  </singleXmlCell>
  <singleXmlCell id="3428" xr6:uid="{00000000-000C-0000-FFFF-FFFF53000000}" r="F20" connectionId="0">
    <xmlCellPr id="1" xr6:uid="{00000000-0010-0000-5300-000001000000}" uniqueName="1">
      <xmlPr mapId="8" xpath="/Pisemnost/DPFDP7/VetaP/@opr_jmeno" xmlDataType="string"/>
    </xmlCellPr>
  </singleXmlCell>
  <singleXmlCell id="3429" xr6:uid="{00000000-000C-0000-FFFF-FFFF54000000}" r="J20" connectionId="0">
    <xmlCellPr id="1" xr6:uid="{00000000-0010-0000-5400-000001000000}" uniqueName="1">
      <xmlPr mapId="8" xpath="/Pisemnost/DPFDP7/VetaO/@kc_zd9" xmlDataType="decimal"/>
    </xmlCellPr>
  </singleXmlCell>
  <singleXmlCell id="3430" xr6:uid="{00000000-000C-0000-FFFF-FFFF55000000}" r="B21" connectionId="0">
    <xmlCellPr id="1" xr6:uid="{00000000-0010-0000-5500-000001000000}" uniqueName="1">
      <xmlPr mapId="8" xpath="/Pisemnost/DPFDP7/VetaD/@kc_konkurs" xmlDataType="decimal"/>
    </xmlCellPr>
  </singleXmlCell>
  <singleXmlCell id="3431" xr6:uid="{00000000-000C-0000-FFFF-FFFF56000000}" r="F21" connectionId="0">
    <xmlCellPr id="1" xr6:uid="{00000000-0010-0000-5600-000001000000}" uniqueName="1">
      <xmlPr mapId="8" xpath="/Pisemnost/DPFDP7/VetaP/@opr_postaveni" xmlDataType="string"/>
    </xmlCellPr>
  </singleXmlCell>
  <singleXmlCell id="3432" xr6:uid="{00000000-000C-0000-FFFF-FFFF57000000}" r="J21" connectionId="0">
    <xmlCellPr id="1" xr6:uid="{00000000-0010-0000-5700-000001000000}" uniqueName="1">
      <xmlPr mapId="8" xpath="/Pisemnost/DPFDP7/VetaO/@kc_ztrata2" xmlDataType="decimal"/>
    </xmlCellPr>
  </singleXmlCell>
  <singleXmlCell id="3433" xr6:uid="{00000000-000C-0000-FFFF-FFFF58000000}" r="B22" connectionId="0">
    <xmlCellPr id="1" xr6:uid="{00000000-0010-0000-5800-000001000000}" uniqueName="1">
      <xmlPr mapId="8" xpath="/Pisemnost/DPFDP7/VetaD/@kc_manztpp" xmlDataType="decimal"/>
    </xmlCellPr>
  </singleXmlCell>
  <singleXmlCell id="3434" xr6:uid="{00000000-000C-0000-FFFF-FFFF59000000}" r="F22" connectionId="0">
    <xmlCellPr id="1" xr6:uid="{00000000-0010-0000-5900-000001000000}" uniqueName="1">
      <xmlPr mapId="8" xpath="/Pisemnost/DPFDP7/VetaP/@opr_prijmeni" xmlDataType="string"/>
    </xmlCellPr>
  </singleXmlCell>
  <singleXmlCell id="3435" xr6:uid="{00000000-000C-0000-FFFF-FFFF5A000000}" r="B23" connectionId="0">
    <xmlCellPr id="1" xr6:uid="{00000000-0010-0000-5A00-000001000000}" uniqueName="1">
      <xmlPr mapId="8" xpath="/Pisemnost/DPFDP7/VetaD/@kc_op15_1a" xmlDataType="decimal"/>
    </xmlCellPr>
  </singleXmlCell>
  <singleXmlCell id="3436" xr6:uid="{00000000-000C-0000-FFFF-FFFF5B000000}" r="F23" connectionId="0">
    <xmlCellPr id="1" xr6:uid="{00000000-0010-0000-5B00-000001000000}" uniqueName="1">
      <xmlPr mapId="8" xpath="/Pisemnost/DPFDP7/VetaP/@prijmeni" xmlDataType="string"/>
    </xmlCellPr>
  </singleXmlCell>
  <singleXmlCell id="3437" xr6:uid="{00000000-000C-0000-FFFF-FFFF5C000000}" r="B24" connectionId="0">
    <xmlCellPr id="1" xr6:uid="{00000000-0010-0000-5C00-000001000000}" uniqueName="1">
      <xmlPr mapId="8" xpath="/Pisemnost/DPFDP7/VetaD/@kc_op15_1c" xmlDataType="decimal"/>
    </xmlCellPr>
  </singleXmlCell>
  <singleXmlCell id="3438" xr6:uid="{00000000-000C-0000-FFFF-FFFF5D000000}" r="F24" connectionId="0">
    <xmlCellPr id="1" xr6:uid="{00000000-0010-0000-5D00-000001000000}" uniqueName="1">
      <xmlPr mapId="8" xpath="/Pisemnost/DPFDP7/VetaP/@psc" xmlDataType="string"/>
    </xmlCellPr>
  </singleXmlCell>
  <singleXmlCell id="3439" xr6:uid="{00000000-000C-0000-FFFF-FFFF5E000000}" r="B25" connectionId="0">
    <xmlCellPr id="1" xr6:uid="{00000000-0010-0000-5E00-000001000000}" uniqueName="1">
      <xmlPr mapId="8" xpath="/Pisemnost/DPFDP7/VetaD/@kc_op15_1d" xmlDataType="decimal"/>
    </xmlCellPr>
  </singleXmlCell>
  <singleXmlCell id="3440" xr6:uid="{00000000-000C-0000-FFFF-FFFF5F000000}" r="F25" connectionId="0">
    <xmlCellPr id="1" xr6:uid="{00000000-0010-0000-5F00-000001000000}" uniqueName="1">
      <xmlPr mapId="8" xpath="/Pisemnost/DPFDP7/VetaP/@rod_c" xmlDataType="string"/>
    </xmlCellPr>
  </singleXmlCell>
  <singleXmlCell id="3441" xr6:uid="{00000000-000C-0000-FFFF-FFFF60000000}" r="B26" connectionId="0">
    <xmlCellPr id="1" xr6:uid="{00000000-0010-0000-6000-000001000000}" uniqueName="1">
      <xmlPr mapId="8" xpath="/Pisemnost/DPFDP7/VetaD/@kc_op15_1e1" xmlDataType="decimal"/>
    </xmlCellPr>
  </singleXmlCell>
  <singleXmlCell id="3442" xr6:uid="{00000000-000C-0000-FFFF-FFFF61000000}" r="F26" connectionId="0">
    <xmlCellPr id="1" xr6:uid="{00000000-0010-0000-6100-000001000000}" uniqueName="1">
      <xmlPr mapId="8" xpath="/Pisemnost/DPFDP7/VetaP/@rodnepr" xmlDataType="string"/>
    </xmlCellPr>
  </singleXmlCell>
  <singleXmlCell id="3443" xr6:uid="{00000000-000C-0000-FFFF-FFFF62000000}" r="B27" connectionId="0">
    <xmlCellPr id="1" xr6:uid="{00000000-0010-0000-6200-000001000000}" uniqueName="1">
      <xmlPr mapId="8" xpath="/Pisemnost/DPFDP7/VetaD/@kc_op15_1e2" xmlDataType="decimal"/>
    </xmlCellPr>
  </singleXmlCell>
  <singleXmlCell id="3444" xr6:uid="{00000000-000C-0000-FFFF-FFFF63000000}" r="F27" connectionId="0">
    <xmlCellPr id="1" xr6:uid="{00000000-0010-0000-6300-000001000000}" uniqueName="1">
      <xmlPr mapId="8" xpath="/Pisemnost/DPFDP7/VetaP/@st_prislus" xmlDataType="string"/>
    </xmlCellPr>
  </singleXmlCell>
  <singleXmlCell id="3445" xr6:uid="{00000000-000C-0000-FFFF-FFFF64000000}" r="B28" connectionId="0">
    <xmlCellPr id="1" xr6:uid="{00000000-0010-0000-6400-000001000000}" uniqueName="1">
      <xmlPr mapId="8" xpath="/Pisemnost/DPFDP7/VetaD/@kc_pausal" xmlDataType="decimal"/>
    </xmlCellPr>
  </singleXmlCell>
  <singleXmlCell id="3446" xr6:uid="{00000000-000C-0000-FFFF-FFFF65000000}" r="F28" connectionId="0">
    <xmlCellPr id="1" xr6:uid="{00000000-0010-0000-6500-000001000000}" uniqueName="1">
      <xmlPr mapId="8" xpath="/Pisemnost/DPFDP7/VetaP/@stat" xmlDataType="string"/>
    </xmlCellPr>
  </singleXmlCell>
  <singleXmlCell id="3447" xr6:uid="{00000000-000C-0000-FFFF-FFFF66000000}" r="F29" connectionId="0">
    <xmlCellPr id="1" xr6:uid="{00000000-0010-0000-6600-000001000000}" uniqueName="1">
      <xmlPr mapId="8" xpath="/Pisemnost/DPFDP7/VetaP/@titul" xmlDataType="string"/>
    </xmlCellPr>
  </singleXmlCell>
  <singleXmlCell id="3448" xr6:uid="{00000000-000C-0000-FFFF-FFFF67000000}" r="B30" connectionId="0">
    <xmlCellPr id="1" xr6:uid="{00000000-0010-0000-6700-000001000000}" uniqueName="1">
      <xmlPr mapId="8" xpath="/Pisemnost/DPFDP7/VetaD/@kc_pzdp" xmlDataType="decimal"/>
    </xmlCellPr>
  </singleXmlCell>
  <singleXmlCell id="3449" xr6:uid="{00000000-000C-0000-FFFF-FFFF68000000}" r="F30" connectionId="0">
    <xmlCellPr id="1" xr6:uid="{00000000-0010-0000-6800-000001000000}" uniqueName="1">
      <xmlPr mapId="8" xpath="/Pisemnost/DPFDP7/VetaP/@ulice" xmlDataType="string"/>
    </xmlCellPr>
  </singleXmlCell>
  <singleXmlCell id="3450" xr6:uid="{00000000-000C-0000-FFFF-FFFF69000000}" r="B31" connectionId="0">
    <xmlCellPr id="1" xr6:uid="{00000000-0010-0000-6900-000001000000}" uniqueName="1">
      <xmlPr mapId="8" xpath="/Pisemnost/DPFDP7/VetaD/@kc_pzzt" xmlDataType="decimal"/>
    </xmlCellPr>
  </singleXmlCell>
  <singleXmlCell id="3451" xr6:uid="{00000000-000C-0000-FFFF-FFFF6A000000}" r="J31" connectionId="0">
    <xmlCellPr id="1" xr6:uid="{00000000-0010-0000-6A00-000001000000}" uniqueName="1">
      <xmlPr mapId="8" xpath="/Pisemnost/DPFDP7/VetaB/@dal_prilohy" xmlDataType="decimal"/>
    </xmlCellPr>
  </singleXmlCell>
  <singleXmlCell id="3452" xr6:uid="{00000000-000C-0000-FFFF-FFFF6B000000}" r="N31" connectionId="0">
    <xmlCellPr id="1" xr6:uid="{00000000-0010-0000-6B00-000001000000}" uniqueName="1">
      <xmlPr mapId="8" xpath="/Pisemnost/DPFDP7/VetaT/@c_nace" xmlDataType="decimal"/>
    </xmlCellPr>
  </singleXmlCell>
  <singleXmlCell id="3453" xr6:uid="{00000000-000C-0000-FFFF-FFFF6C000000}" r="F32" connectionId="0">
    <xmlCellPr id="1" xr6:uid="{00000000-0010-0000-6C00-000001000000}" uniqueName="1">
      <xmlPr mapId="8" xpath="/Pisemnost/DPFDP7/VetaP/@z_c_obce" xmlDataType="decimal"/>
    </xmlCellPr>
  </singleXmlCell>
  <singleXmlCell id="3454" xr6:uid="{00000000-000C-0000-FFFF-FFFF6D000000}" r="J32" connectionId="0">
    <xmlCellPr id="1" xr6:uid="{00000000-0010-0000-6D00-000001000000}" uniqueName="1">
      <xmlPr mapId="8" xpath="/Pisemnost/DPFDP7/VetaB/@doklad_dar" xmlDataType="decimal"/>
    </xmlCellPr>
  </singleXmlCell>
  <singleXmlCell id="3455" xr6:uid="{00000000-000C-0000-FFFF-FFFF6E000000}" r="N32" connectionId="0">
    <xmlCellPr id="1" xr6:uid="{00000000-0010-0000-6E00-000001000000}" uniqueName="1">
      <xmlPr mapId="8" xpath="/Pisemnost/DPFDP7/VetaT/@celk_pr_prij7" xmlDataType="decimal"/>
    </xmlCellPr>
  </singleXmlCell>
  <singleXmlCell id="3456" xr6:uid="{00000000-000C-0000-FFFF-FFFF6F000000}" r="B33" connectionId="0">
    <xmlCellPr id="1" xr6:uid="{00000000-0010-0000-6F00-000001000000}" uniqueName="1">
      <xmlPr mapId="8" xpath="/Pisemnost/DPFDP7/VetaD/@kc_rozdil_dp" xmlDataType="decimal"/>
    </xmlCellPr>
  </singleXmlCell>
  <singleXmlCell id="3457" xr6:uid="{00000000-000C-0000-FFFF-FFFF70000000}" r="F33" connectionId="0">
    <xmlCellPr id="1" xr6:uid="{00000000-0010-0000-7000-000001000000}" uniqueName="1">
      <xmlPr mapId="8" xpath="/Pisemnost/DPFDP7/VetaP/@z_c_orient" xmlDataType="string"/>
    </xmlCellPr>
  </singleXmlCell>
  <singleXmlCell id="3458" xr6:uid="{00000000-000C-0000-FFFF-FFFF71000000}" r="J33" connectionId="0">
    <xmlCellPr id="1" xr6:uid="{00000000-0010-0000-7100-000001000000}" uniqueName="1">
      <xmlPr mapId="8" xpath="/Pisemnost/DPFDP7/VetaB/@duvody_dodap" xmlDataType="decimal"/>
    </xmlCellPr>
  </singleXmlCell>
  <singleXmlCell id="3459" xr6:uid="{00000000-000C-0000-FFFF-FFFF72000000}" r="N33" connectionId="0">
    <xmlCellPr id="1" xr6:uid="{00000000-0010-0000-7200-000001000000}" uniqueName="1">
      <xmlPr mapId="8" xpath="/Pisemnost/DPFDP7/VetaT/@celk_pr_vyd7" xmlDataType="decimal"/>
    </xmlCellPr>
  </singleXmlCell>
  <singleXmlCell id="3460" xr6:uid="{00000000-000C-0000-FFFF-FFFF73000000}" r="B34" connectionId="0">
    <xmlCellPr id="1" xr6:uid="{00000000-0010-0000-7300-000001000000}" uniqueName="1">
      <xmlPr mapId="8" xpath="/Pisemnost/DPFDP7/VetaD/@kc_rozdil_zt" xmlDataType="decimal"/>
    </xmlCellPr>
  </singleXmlCell>
  <singleXmlCell id="3461" xr6:uid="{00000000-000C-0000-FFFF-FFFF74000000}" r="F34" connectionId="0">
    <xmlCellPr id="1" xr6:uid="{00000000-0010-0000-7400-000001000000}" uniqueName="1">
      <xmlPr mapId="8" xpath="/Pisemnost/DPFDP7/VetaP/@z_c_pop" xmlDataType="decimal"/>
    </xmlCellPr>
  </singleXmlCell>
  <singleXmlCell id="3462" xr6:uid="{00000000-000C-0000-FFFF-FFFF75000000}" r="N34" connectionId="0">
    <xmlCellPr id="1" xr6:uid="{00000000-0010-0000-7500-000001000000}" uniqueName="1">
      <xmlPr mapId="8" xpath="/Pisemnost/DPFDP7/VetaT/@d_obnocin" xmlDataType="string"/>
    </xmlCellPr>
  </singleXmlCell>
  <singleXmlCell id="3463" xr6:uid="{00000000-000C-0000-FFFF-FFFF76000000}" r="B35" connectionId="0">
    <xmlCellPr id="1" xr6:uid="{00000000-0010-0000-7600-000001000000}" uniqueName="1">
      <xmlPr mapId="8" xpath="/Pisemnost/DPFDP7/VetaD/@kc_slevy35c" xmlDataType="decimal"/>
    </xmlCellPr>
  </singleXmlCell>
  <singleXmlCell id="3464" xr6:uid="{00000000-000C-0000-FFFF-FFFF77000000}" r="F35" connectionId="0">
    <xmlCellPr id="1" xr6:uid="{00000000-0010-0000-7700-000001000000}" uniqueName="1">
      <xmlPr mapId="8" xpath="/Pisemnost/DPFDP7/VetaP/@z_c_telef" xmlDataType="string"/>
    </xmlCellPr>
  </singleXmlCell>
  <singleXmlCell id="3465" xr6:uid="{00000000-000C-0000-FFFF-FFFF78000000}" r="J35" connectionId="0">
    <xmlCellPr id="1" xr6:uid="{00000000-0010-0000-7800-000001000000}" uniqueName="1">
      <xmlPr mapId="8" xpath="/Pisemnost/DPFDP7/VetaB/@potv_36" xmlDataType="decimal"/>
    </xmlCellPr>
  </singleXmlCell>
  <singleXmlCell id="3466" xr6:uid="{00000000-000C-0000-FFFF-FFFF79000000}" r="N35" connectionId="0">
    <xmlCellPr id="1" xr6:uid="{00000000-0010-0000-7900-000001000000}" uniqueName="1">
      <xmlPr mapId="8" xpath="/Pisemnost/DPFDP7/VetaT/@d_precin" xmlDataType="string"/>
    </xmlCellPr>
  </singleXmlCell>
  <singleXmlCell id="3467" xr6:uid="{00000000-000C-0000-FFFF-FFFF7A000000}" r="F36" connectionId="0">
    <xmlCellPr id="1" xr6:uid="{00000000-0010-0000-7A00-000001000000}" uniqueName="1">
      <xmlPr mapId="8" xpath="/Pisemnost/DPFDP7/VetaP/@z_email" xmlDataType="string"/>
    </xmlCellPr>
  </singleXmlCell>
  <singleXmlCell id="3470" xr6:uid="{00000000-000C-0000-FFFF-FFFF7B000000}" r="N36" connectionId="0">
    <xmlCellPr id="1" xr6:uid="{00000000-0010-0000-7B00-000001000000}" uniqueName="1">
      <xmlPr mapId="8" xpath="/Pisemnost/DPFDP7/VetaT/@d_ukoncin" xmlDataType="string"/>
    </xmlCellPr>
  </singleXmlCell>
  <singleXmlCell id="3471" xr6:uid="{00000000-000C-0000-FFFF-FFFF7C000000}" r="F37" connectionId="0">
    <xmlCellPr id="1" xr6:uid="{00000000-0010-0000-7C00-000001000000}" uniqueName="1">
      <xmlPr mapId="8" xpath="/Pisemnost/DPFDP7/VetaP/@z_naz_obce" xmlDataType="string"/>
    </xmlCellPr>
  </singleXmlCell>
  <singleXmlCell id="3474" xr6:uid="{00000000-000C-0000-FFFF-FFFF7D000000}" r="N37" connectionId="0">
    <xmlCellPr id="1" xr6:uid="{00000000-0010-0000-7D00-000001000000}" uniqueName="1">
      <xmlPr mapId="8" xpath="/Pisemnost/DPFDP7/VetaT/@d_zahcin" xmlDataType="string"/>
    </xmlCellPr>
  </singleXmlCell>
  <singleXmlCell id="3475" xr6:uid="{00000000-000C-0000-FFFF-FFFF7E000000}" r="F38" connectionId="0">
    <xmlCellPr id="1" xr6:uid="{00000000-0010-0000-7E00-000001000000}" uniqueName="1">
      <xmlPr mapId="8" xpath="/Pisemnost/DPFDP7/VetaP/@z_psc" xmlDataType="string"/>
    </xmlCellPr>
  </singleXmlCell>
  <singleXmlCell id="3476" xr6:uid="{00000000-000C-0000-FFFF-FFFF7F000000}" r="J38" connectionId="0">
    <xmlCellPr id="1" xr6:uid="{00000000-0010-0000-7F00-000001000000}" uniqueName="1">
      <xmlPr mapId="8" xpath="/Pisemnost/DPFDP7/VetaB/@potv_penpri" xmlDataType="decimal"/>
    </xmlCellPr>
  </singleXmlCell>
  <singleXmlCell id="3477" xr6:uid="{00000000-000C-0000-FFFF-FFFF80000000}" r="N38" connectionId="0">
    <xmlCellPr id="1" xr6:uid="{00000000-0010-0000-8000-000001000000}" uniqueName="1">
      <xmlPr mapId="8" xpath="/Pisemnost/DPFDP7/VetaT/@kc_cisobr" xmlDataType="decimal"/>
    </xmlCellPr>
  </singleXmlCell>
  <singleXmlCell id="3478" xr6:uid="{00000000-000C-0000-FFFF-FFFF81000000}" r="B39" connectionId="0">
    <xmlCellPr id="1" xr6:uid="{00000000-0010-0000-8100-000001000000}" uniqueName="1">
      <xmlPr mapId="8" xpath="/Pisemnost/DPFDP7/VetaD/@kc_sraz385" xmlDataType="decimal"/>
    </xmlCellPr>
  </singleXmlCell>
  <singleXmlCell id="3479" xr6:uid="{00000000-000C-0000-FFFF-FFFF82000000}" r="F39" connectionId="0">
    <xmlCellPr id="1" xr6:uid="{00000000-0010-0000-8200-000001000000}" uniqueName="1">
      <xmlPr mapId="8" xpath="/Pisemnost/DPFDP7/VetaP/@z_ulice" xmlDataType="string"/>
    </xmlCellPr>
  </singleXmlCell>
  <singleXmlCell id="3480" xr6:uid="{00000000-000C-0000-FFFF-FFFF83000000}" r="N39" connectionId="0">
    <xmlCellPr id="1" xr6:uid="{00000000-0010-0000-8300-000001000000}" uniqueName="1">
      <xmlPr mapId="8" xpath="/Pisemnost/DPFDP7/VetaT/@kc_hosp_rozd" xmlDataType="decimal"/>
    </xmlCellPr>
  </singleXmlCell>
  <singleXmlCell id="3481" xr6:uid="{00000000-000C-0000-FFFF-FFFF84000000}" r="B40" connectionId="0">
    <xmlCellPr id="1" xr6:uid="{00000000-0010-0000-8400-000001000000}" uniqueName="1">
      <xmlPr mapId="8" xpath="/Pisemnost/DPFDP7/VetaD/@kc_sraz_6_4" xmlDataType="decimal"/>
    </xmlCellPr>
  </singleXmlCell>
  <singleXmlCell id="3482" xr6:uid="{00000000-000C-0000-FFFF-FFFF85000000}" r="F40" connectionId="0">
    <xmlCellPr id="1" xr6:uid="{00000000-0010-0000-8500-000001000000}" uniqueName="1">
      <xmlPr mapId="8" xpath="/Pisemnost/DPFDP7/VetaP/@zast_dat_nar" xmlDataType="string"/>
    </xmlCellPr>
  </singleXmlCell>
  <singleXmlCell id="3483" xr6:uid="{00000000-000C-0000-FFFF-FFFF86000000}" r="J40" connectionId="0">
    <xmlCellPr id="1" xr6:uid="{00000000-0010-0000-8600-000001000000}" uniqueName="1">
      <xmlPr mapId="8" xpath="/Pisemnost/DPFDP7/VetaB/@potv_uver" xmlDataType="decimal"/>
    </xmlCellPr>
  </singleXmlCell>
  <singleXmlCell id="3484" xr6:uid="{00000000-000C-0000-FFFF-FFFF87000000}" r="N40" connectionId="0">
    <xmlCellPr id="1" xr6:uid="{00000000-0010-0000-8700-000001000000}" uniqueName="1">
      <xmlPr mapId="8" xpath="/Pisemnost/DPFDP7/VetaT/@kc_odpcelk" xmlDataType="decimal"/>
    </xmlCellPr>
  </singleXmlCell>
  <singleXmlCell id="3485" xr6:uid="{00000000-000C-0000-FFFF-FFFF88000000}" r="B41" connectionId="0">
    <xmlCellPr id="1" xr6:uid="{00000000-0010-0000-8800-000001000000}" uniqueName="1">
      <xmlPr mapId="8" xpath="/Pisemnost/DPFDP7/VetaD/@kc_sraz_rezehp" xmlDataType="decimal"/>
    </xmlCellPr>
  </singleXmlCell>
  <singleXmlCell id="3486" xr6:uid="{00000000-000C-0000-FFFF-FFFF89000000}" r="F41" connectionId="0">
    <xmlCellPr id="1" xr6:uid="{00000000-0010-0000-8900-000001000000}" uniqueName="1">
      <xmlPr mapId="8" xpath="/Pisemnost/DPFDP7/VetaP/@zast_ev_cislo" xmlDataType="string"/>
    </xmlCellPr>
  </singleXmlCell>
  <singleXmlCell id="3487" xr6:uid="{00000000-000C-0000-FFFF-FFFF8A000000}" r="J41" connectionId="0">
    <xmlCellPr id="1" xr6:uid="{00000000-0010-0000-8A00-000001000000}" uniqueName="1">
      <xmlPr mapId="8" xpath="/Pisemnost/DPFDP7/VetaB/@potv_zahrsd" xmlDataType="decimal"/>
    </xmlCellPr>
  </singleXmlCell>
  <singleXmlCell id="3488" xr6:uid="{00000000-000C-0000-FFFF-FFFF8B000000}" r="N41" connectionId="0">
    <xmlCellPr id="1" xr6:uid="{00000000-0010-0000-8B00-000001000000}" uniqueName="1">
      <xmlPr mapId="8" xpath="/Pisemnost/DPFDP7/VetaT/@kc_odpnem" xmlDataType="decimal"/>
    </xmlCellPr>
  </singleXmlCell>
  <singleXmlCell id="3491" xr6:uid="{00000000-000C-0000-FFFF-FFFF8C000000}" r="F42" connectionId="0">
    <xmlCellPr id="1" xr6:uid="{00000000-0010-0000-8C00-000001000000}" uniqueName="1">
      <xmlPr mapId="8" xpath="/Pisemnost/DPFDP7/VetaP/@zast_ic" xmlDataType="string"/>
    </xmlCellPr>
  </singleXmlCell>
  <singleXmlCell id="3492" xr6:uid="{00000000-000C-0000-FFFF-FFFF8D000000}" r="J42" connectionId="0">
    <xmlCellPr id="1" xr6:uid="{00000000-0010-0000-8D00-000001000000}" uniqueName="1">
      <xmlPr mapId="8" xpath="/Pisemnost/DPFDP7/VetaB/@potv_zam" xmlDataType="decimal"/>
    </xmlCellPr>
  </singleXmlCell>
  <singleXmlCell id="3493" xr6:uid="{00000000-000C-0000-FFFF-FFFF8E000000}" r="N42" connectionId="0">
    <xmlCellPr id="1" xr6:uid="{00000000-0010-0000-8E00-000001000000}" uniqueName="1">
      <xmlPr mapId="8" xpath="/Pisemnost/DPFDP7/VetaT/@kc_pod_komp" xmlDataType="decimal"/>
    </xmlCellPr>
  </singleXmlCell>
  <singleXmlCell id="3494" xr6:uid="{00000000-000C-0000-FFFF-FFFF8F000000}" r="B43" connectionId="0">
    <xmlCellPr id="1" xr6:uid="{00000000-0010-0000-8F00-000001000000}" uniqueName="1">
      <xmlPr mapId="8" xpath="/Pisemnost/DPFDP7/VetaD/@kc_vyplbonus" xmlDataType="decimal"/>
    </xmlCellPr>
  </singleXmlCell>
  <singleXmlCell id="3495" xr6:uid="{00000000-000C-0000-FFFF-FFFF90000000}" r="F43" connectionId="0">
    <xmlCellPr id="1" xr6:uid="{00000000-0010-0000-9000-000001000000}" uniqueName="1">
      <xmlPr mapId="8" xpath="/Pisemnost/DPFDP7/VetaP/@zast_jmeno" xmlDataType="string"/>
    </xmlCellPr>
  </singleXmlCell>
  <singleXmlCell id="3496" xr6:uid="{00000000-000C-0000-FFFF-FFFF91000000}" r="J43" connectionId="0">
    <xmlCellPr id="1" xr6:uid="{00000000-0010-0000-9100-000001000000}" uniqueName="1">
      <xmlPr mapId="8" xpath="/Pisemnost/DPFDP7/VetaB/@potv_zivpoj" xmlDataType="decimal"/>
    </xmlCellPr>
  </singleXmlCell>
  <singleXmlCell id="3497" xr6:uid="{00000000-000C-0000-FFFF-FFFF92000000}" r="N43" connectionId="0">
    <xmlCellPr id="1" xr6:uid="{00000000-0010-0000-9200-000001000000}" uniqueName="1">
      <xmlPr mapId="8" xpath="/Pisemnost/DPFDP7/VetaT/@kc_pod_so" xmlDataType="decimal"/>
    </xmlCellPr>
  </singleXmlCell>
  <singleXmlCell id="3498" xr6:uid="{00000000-000C-0000-FFFF-FFFF93000000}" r="B44" connectionId="0">
    <xmlCellPr id="1" xr6:uid="{00000000-0010-0000-9300-000001000000}" uniqueName="1">
      <xmlPr mapId="8" xpath="/Pisemnost/DPFDP7/VetaD/@kc_zalpred" xmlDataType="decimal"/>
    </xmlCellPr>
  </singleXmlCell>
  <singleXmlCell id="3499" xr6:uid="{00000000-000C-0000-FFFF-FFFF94000000}" r="F44" connectionId="0">
    <xmlCellPr id="1" xr6:uid="{00000000-0010-0000-9400-000001000000}" uniqueName="1">
      <xmlPr mapId="8" xpath="/Pisemnost/DPFDP7/VetaP/@zast_kod" xmlDataType="string"/>
    </xmlCellPr>
  </singleXmlCell>
  <singleXmlCell id="3500" xr6:uid="{00000000-000C-0000-FFFF-FFFF95000000}" r="J44" connectionId="0">
    <xmlCellPr id="1" xr6:uid="{00000000-0010-0000-9500-000001000000}" uniqueName="1">
      <xmlPr mapId="8" xpath="/Pisemnost/DPFDP7/VetaB/@pril3_samlist" xmlDataType="decimal"/>
    </xmlCellPr>
  </singleXmlCell>
  <singleXmlCell id="3501" xr6:uid="{00000000-000C-0000-FFFF-FFFF96000000}" r="N44" connectionId="0">
    <xmlCellPr id="1" xr6:uid="{00000000-0010-0000-9600-000001000000}" uniqueName="1">
      <xmlPr mapId="8" xpath="/Pisemnost/DPFDP7/VetaT/@kc_pod_vaso" xmlDataType="decimal"/>
    </xmlCellPr>
  </singleXmlCell>
  <singleXmlCell id="3502" xr6:uid="{00000000-000C-0000-FFFF-FFFF97000000}" r="B45" connectionId="0">
    <xmlCellPr id="1" xr6:uid="{00000000-0010-0000-9700-000001000000}" uniqueName="1">
      <xmlPr mapId="8" xpath="/Pisemnost/DPFDP7/VetaD/@kc_zalzavc" xmlDataType="decimal"/>
    </xmlCellPr>
  </singleXmlCell>
  <singleXmlCell id="3503" xr6:uid="{00000000-000C-0000-FFFF-FFFF98000000}" r="F45" connectionId="0">
    <xmlCellPr id="1" xr6:uid="{00000000-0010-0000-9800-000001000000}" uniqueName="1">
      <xmlPr mapId="8" xpath="/Pisemnost/DPFDP7/VetaP/@zast_nazev" xmlDataType="string"/>
    </xmlCellPr>
  </singleXmlCell>
  <singleXmlCell id="3504" xr6:uid="{00000000-000C-0000-FFFF-FFFF99000000}" r="J45" connectionId="0">
    <xmlCellPr id="1" xr6:uid="{00000000-0010-0000-9900-000001000000}" uniqueName="1">
      <xmlPr mapId="8" xpath="/Pisemnost/DPFDP7/VetaB/@pril_poduv" xmlDataType="decimal"/>
    </xmlCellPr>
  </singleXmlCell>
  <singleXmlCell id="3505" xr6:uid="{00000000-000C-0000-FFFF-FFFF9A000000}" r="N45" connectionId="0">
    <xmlCellPr id="1" xr6:uid="{00000000-0010-0000-9A00-000001000000}" uniqueName="1">
      <xmlPr mapId="8" xpath="/Pisemnost/DPFDP7/VetaT/@pr_prij7" xmlDataType="decimal"/>
    </xmlCellPr>
  </singleXmlCell>
  <singleXmlCell id="3506" xr6:uid="{00000000-000C-0000-FFFF-FFFF9B000000}" r="B46" connectionId="0">
    <xmlCellPr id="1" xr6:uid="{00000000-0010-0000-9B00-000001000000}" uniqueName="1">
      <xmlPr mapId="8" xpath="/Pisemnost/DPFDP7/VetaD/@kc_zbyvpred" xmlDataType="decimal"/>
    </xmlCellPr>
  </singleXmlCell>
  <singleXmlCell id="3507" xr6:uid="{00000000-000C-0000-FFFF-FFFF9C000000}" r="F46" connectionId="0">
    <xmlCellPr id="1" xr6:uid="{00000000-0010-0000-9C00-000001000000}" uniqueName="1">
      <xmlPr mapId="8" xpath="/Pisemnost/DPFDP7/VetaP/@zast_prijmeni" xmlDataType="string"/>
    </xmlCellPr>
  </singleXmlCell>
  <singleXmlCell id="3508" xr6:uid="{00000000-000C-0000-FFFF-FFFF9D000000}" r="J46" connectionId="0">
    <xmlCellPr id="1" xr6:uid="{00000000-0010-0000-9D00-000001000000}" uniqueName="1">
      <xmlPr mapId="8" xpath="/Pisemnost/DPFDP7/VetaB/@pril_ztraty" xmlDataType="decimal"/>
    </xmlCellPr>
  </singleXmlCell>
  <singleXmlCell id="3509" xr6:uid="{00000000-000C-0000-FFFF-FFFF9E000000}" r="N46" connectionId="0">
    <xmlCellPr id="1" xr6:uid="{00000000-0010-0000-9E00-000001000000}" uniqueName="1">
      <xmlPr mapId="8" xpath="/Pisemnost/DPFDP7/VetaT/@kc_uhsniz" xmlDataType="decimal"/>
    </xmlCellPr>
  </singleXmlCell>
  <singleXmlCell id="3510" xr6:uid="{00000000-000C-0000-FFFF-FFFF9F000000}" r="B47" connectionId="0">
    <xmlCellPr id="1" xr6:uid="{00000000-0010-0000-9F00-000001000000}" uniqueName="1">
      <xmlPr mapId="8" xpath="/Pisemnost/DPFDP7/VetaD/@kc_zjidp" xmlDataType="decimal"/>
    </xmlCellPr>
  </singleXmlCell>
  <singleXmlCell id="3511" xr6:uid="{00000000-000C-0000-FFFF-FFFFA0000000}" r="F47" connectionId="0">
    <xmlCellPr id="1" xr6:uid="{00000000-0010-0000-A000-000001000000}" uniqueName="1">
      <xmlPr mapId="8" xpath="/Pisemnost/DPFDP7/VetaP/@zast_typ" xmlDataType="string"/>
    </xmlCellPr>
  </singleXmlCell>
  <singleXmlCell id="3512" xr6:uid="{00000000-000C-0000-FFFF-FFFFA1000000}" r="J47" connectionId="0">
    <xmlCellPr id="1" xr6:uid="{00000000-0010-0000-A100-000001000000}" uniqueName="1">
      <xmlPr mapId="8" xpath="/Pisemnost/DPFDP7/VetaB/@priloh_celk" xmlDataType="decimal"/>
    </xmlCellPr>
  </singleXmlCell>
  <singleXmlCell id="3513" xr6:uid="{00000000-000C-0000-FFFF-FFFFA2000000}" r="N47" connectionId="0">
    <xmlCellPr id="1" xr6:uid="{00000000-0010-0000-A200-000001000000}" uniqueName="1">
      <xmlPr mapId="8" xpath="/Pisemnost/DPFDP7/VetaT/@kc_uhzvys" xmlDataType="decimal"/>
    </xmlCellPr>
  </singleXmlCell>
  <singleXmlCell id="3514" xr6:uid="{00000000-000C-0000-FFFF-FFFFA3000000}" r="B48" connectionId="0">
    <xmlCellPr id="1" xr6:uid="{00000000-0010-0000-A300-000001000000}" uniqueName="1">
      <xmlPr mapId="8" xpath="/Pisemnost/DPFDP7/VetaD/@kc_zjizt" xmlDataType="decimal"/>
    </xmlCellPr>
  </singleXmlCell>
  <singleXmlCell id="3515" xr6:uid="{00000000-000C-0000-FFFF-FFFFA4000000}" r="J48" connectionId="0">
    <xmlCellPr id="1" xr6:uid="{00000000-0010-0000-A400-000001000000}" uniqueName="1">
      <xmlPr mapId="8" xpath="/Pisemnost/DPFDP7/VetaB/@priloha1" xmlDataType="string"/>
    </xmlCellPr>
  </singleXmlCell>
  <singleXmlCell id="3516" xr6:uid="{00000000-000C-0000-FFFF-FFFFA5000000}" r="N48" connectionId="0">
    <xmlCellPr id="1" xr6:uid="{00000000-0010-0000-A500-000001000000}" uniqueName="1">
      <xmlPr mapId="8" xpath="/Pisemnost/DPFDP7/VetaT/@kc_vyd7" xmlDataType="decimal"/>
    </xmlCellPr>
  </singleXmlCell>
  <singleXmlCell id="3517" xr6:uid="{00000000-000C-0000-FFFF-FFFFA6000000}" r="B49" connectionId="0">
    <xmlCellPr id="1" xr6:uid="{00000000-0010-0000-A600-000001000000}" uniqueName="1">
      <xmlPr mapId="8" xpath="/Pisemnost/DPFDP7/VetaD/@kod_popl" xmlDataType="string"/>
    </xmlCellPr>
  </singleXmlCell>
  <singleXmlCell id="3518" xr6:uid="{00000000-000C-0000-FFFF-FFFFA7000000}" r="J49" connectionId="0">
    <xmlCellPr id="1" xr6:uid="{00000000-0010-0000-A700-000001000000}" uniqueName="1">
      <xmlPr mapId="8" xpath="/Pisemnost/DPFDP7/VetaB/@priloha2" xmlDataType="string"/>
    </xmlCellPr>
  </singleXmlCell>
  <singleXmlCell id="3519" xr6:uid="{00000000-000C-0000-FFFF-FFFFA8000000}" r="N49" connectionId="0">
    <xmlCellPr id="1" xr6:uid="{00000000-0010-0000-A800-000001000000}" uniqueName="1">
      <xmlPr mapId="8" xpath="/Pisemnost/DPFDP7/VetaT/@kc_vyd_so" xmlDataType="decimal"/>
    </xmlCellPr>
  </singleXmlCell>
  <singleXmlCell id="3520" xr6:uid="{00000000-000C-0000-FFFF-FFFFA9000000}" r="B50" connectionId="0">
    <xmlCellPr id="1" xr6:uid="{00000000-0010-0000-A900-000001000000}" uniqueName="1">
      <xmlPr mapId="8" xpath="/Pisemnost/DPFDP7/VetaD/@m_cinvduch" xmlDataType="decimal"/>
    </xmlCellPr>
  </singleXmlCell>
  <singleXmlCell id="3521" xr6:uid="{00000000-000C-0000-FFFF-FFFFAA000000}" r="J50" connectionId="0">
    <xmlCellPr id="1" xr6:uid="{00000000-0010-0000-AA00-000001000000}" uniqueName="1">
      <xmlPr mapId="8" xpath="/Pisemnost/DPFDP7/VetaB/@seznam" xmlDataType="decimal"/>
    </xmlCellPr>
  </singleXmlCell>
  <singleXmlCell id="3522" xr6:uid="{00000000-000C-0000-FFFF-FFFFAB000000}" r="N50" connectionId="0">
    <xmlCellPr id="1" xr6:uid="{00000000-0010-0000-AB00-000001000000}" uniqueName="1">
      <xmlPr mapId="8" xpath="/Pisemnost/DPFDP7/VetaT/@kc_vyd_vaso" xmlDataType="decimal"/>
    </xmlCellPr>
  </singleXmlCell>
  <singleXmlCell id="3523" xr6:uid="{00000000-000C-0000-FFFF-FFFFAC000000}" r="B51" connectionId="0">
    <xmlCellPr id="1" xr6:uid="{00000000-0010-0000-AC00-000001000000}" uniqueName="1">
      <xmlPr mapId="8" xpath="/Pisemnost/DPFDP7/VetaD/@m_deti" xmlDataType="decimal"/>
    </xmlCellPr>
  </singleXmlCell>
  <singleXmlCell id="3524" xr6:uid="{00000000-000C-0000-FFFF-FFFFAD000000}" r="F51" connectionId="0">
    <xmlCellPr id="1" xr6:uid="{00000000-0010-0000-AD00-000001000000}" uniqueName="1">
      <xmlPr mapId="8" xpath="/Pisemnost/DPFDP7/VetaD/@uv_rozsah_rozv" xmlDataType="string"/>
    </xmlCellPr>
  </singleXmlCell>
  <singleXmlCell id="3525" xr6:uid="{00000000-000C-0000-FFFF-FFFFAE000000}" r="J51" connectionId="0">
    <xmlCellPr id="1" xr6:uid="{00000000-0010-0000-AE00-000001000000}" uniqueName="1">
      <xmlPr mapId="8" xpath="/Pisemnost/DPFDP7/VetaB/@vklad_ku" xmlDataType="decimal"/>
    </xmlCellPr>
  </singleXmlCell>
  <singleXmlCell id="3526" xr6:uid="{00000000-000C-0000-FFFF-FFFFAF000000}" r="N51" connectionId="0">
    <xmlCellPr id="1" xr6:uid="{00000000-0010-0000-AF00-000001000000}" uniqueName="1">
      <xmlPr mapId="8" xpath="/Pisemnost/DPFDP7/VetaT/@kc_zd7p" xmlDataType="decimal"/>
    </xmlCellPr>
  </singleXmlCell>
  <singleXmlCell id="3527" xr6:uid="{00000000-000C-0000-FFFF-FFFFB0000000}" r="B52" connectionId="0">
    <xmlCellPr id="1" xr6:uid="{00000000-0010-0000-B000-000001000000}" uniqueName="1">
      <xmlPr mapId="8" xpath="/Pisemnost/DPFDP7/VetaD/@m_detiztpp" xmlDataType="decimal"/>
    </xmlCellPr>
  </singleXmlCell>
  <singleXmlCell id="3528" xr6:uid="{00000000-000C-0000-FFFF-FFFFB1000000}" r="F52" connectionId="0">
    <xmlCellPr id="1" xr6:uid="{00000000-0010-0000-B100-000001000000}" uniqueName="1">
      <xmlPr mapId="8" xpath="/Pisemnost/DPFDP7/VetaD/@uv_rozsah_vzz" xmlDataType="string"/>
    </xmlCellPr>
  </singleXmlCell>
  <singleXmlCell id="3529" xr6:uid="{00000000-000C-0000-FFFF-FFFFB2000000}" r="J52" connectionId="0">
    <xmlCellPr id="1" xr6:uid="{00000000-0010-0000-B200-000001000000}" uniqueName="1">
      <xmlPr mapId="8" xpath="/Pisemnost/DPFDP7/VetaB/@potv_dazvyh" xmlDataType="decimal"/>
    </xmlCellPr>
  </singleXmlCell>
  <singleXmlCell id="3530" xr6:uid="{00000000-000C-0000-FFFF-FFFFB3000000}" r="B53" connectionId="0">
    <xmlCellPr id="1" xr6:uid="{00000000-0010-0000-B300-000001000000}" uniqueName="1">
      <xmlPr mapId="8" xpath="/Pisemnost/DPFDP7/VetaD/@m_invduch" xmlDataType="decimal"/>
    </xmlCellPr>
  </singleXmlCell>
  <singleXmlCell id="3531" xr6:uid="{00000000-000C-0000-FFFF-FFFFB4000000}" r="J53" connectionId="0">
    <xmlCellPr id="1" xr6:uid="{00000000-0010-0000-B400-000001000000}" uniqueName="1">
      <xmlPr mapId="8" xpath="/Pisemnost/DPFDP7/VetaB/@pril_loto" xmlDataType="decimal"/>
    </xmlCellPr>
  </singleXmlCell>
  <singleXmlCell id="3532" xr6:uid="{00000000-000C-0000-FFFF-FFFFB5000000}" r="N53" connectionId="0">
    <xmlCellPr id="1" xr6:uid="{00000000-0010-0000-B500-000001000000}" uniqueName="1">
      <xmlPr mapId="8" xpath="/Pisemnost/DPFDP7/VetaT/@m_podnik" xmlDataType="decimal"/>
    </xmlCellPr>
  </singleXmlCell>
  <singleXmlCell id="3533" xr6:uid="{00000000-000C-0000-FFFF-FFFFB6000000}" r="B54" connectionId="0">
    <xmlCellPr id="1" xr6:uid="{00000000-0010-0000-B600-000001000000}" uniqueName="1">
      <xmlPr mapId="8" xpath="/Pisemnost/DPFDP7/VetaD/@m_manz" xmlDataType="decimal"/>
    </xmlCellPr>
  </singleXmlCell>
  <singleXmlCell id="3534" xr6:uid="{00000000-000C-0000-FFFF-FFFFB7000000}" r="J54" connectionId="0">
    <xmlCellPr id="1" xr6:uid="{00000000-0010-0000-B700-000001000000}" uniqueName="1">
      <xmlPr mapId="8" xpath="/Pisemnost/DPFDP7/VetaB/@priloha4" xmlDataType="decimal"/>
    </xmlCellPr>
  </singleXmlCell>
  <singleXmlCell id="3535" xr6:uid="{00000000-000C-0000-FFFF-FFFFB8000000}" r="N54" connectionId="0">
    <xmlCellPr id="1" xr6:uid="{00000000-0010-0000-B800-000001000000}" uniqueName="1">
      <xmlPr mapId="8" xpath="/Pisemnost/DPFDP7/VetaT/@kc_prij7" xmlDataType="decimal"/>
    </xmlCellPr>
  </singleXmlCell>
  <singleXmlCell id="3538" xr6:uid="{00000000-000C-0000-FFFF-FFFFB9000000}" r="N55" connectionId="0">
    <xmlCellPr id="1" xr6:uid="{00000000-0010-0000-B900-000001000000}" uniqueName="1">
      <xmlPr mapId="8" xpath="/Pisemnost/DPFDP7/VetaT/@pr_sazba" xmlDataType="decimal"/>
    </xmlCellPr>
  </singleXmlCell>
  <singleXmlCell id="3539" xr6:uid="{00000000-000C-0000-FFFF-FFFFBA000000}" r="B56" connectionId="0">
    <xmlCellPr id="1" xr6:uid="{00000000-0010-0000-BA00-000001000000}" uniqueName="1">
      <xmlPr mapId="8" xpath="/Pisemnost/DPFDP7/VetaD/@m_vyzmanzl" xmlDataType="decimal"/>
    </xmlCellPr>
  </singleXmlCell>
  <singleXmlCell id="3540" xr6:uid="{00000000-000C-0000-FFFF-FFFFBB000000}" r="N56" connectionId="0">
    <xmlCellPr id="1" xr6:uid="{00000000-0010-0000-BB00-000001000000}" uniqueName="1">
      <xmlPr mapId="8" xpath="/Pisemnost/DPFDP7/VetaT/@pr_vyd7" xmlDataType="decimal"/>
    </xmlCellPr>
  </singleXmlCell>
  <singleXmlCell id="3541" xr6:uid="{00000000-000C-0000-FFFF-FFFFBC000000}" r="B57" connectionId="0">
    <xmlCellPr id="1" xr6:uid="{00000000-0010-0000-BC00-000001000000}" uniqueName="1">
      <xmlPr mapId="8" xpath="/Pisemnost/DPFDP7/VetaD/@m_ztpp" xmlDataType="decimal"/>
    </xmlCellPr>
  </singleXmlCell>
  <singleXmlCell id="3542" xr6:uid="{00000000-000C-0000-FFFF-FFFFBD000000}" r="N57" connectionId="0">
    <xmlCellPr id="1" xr6:uid="{00000000-0010-0000-BD00-000001000000}" uniqueName="1">
      <xmlPr mapId="8" xpath="/Pisemnost/DPFDP7/VetaT/@uc_soust" xmlDataType="string"/>
    </xmlCellPr>
  </singleXmlCell>
  <singleXmlCell id="3543" xr6:uid="{00000000-000C-0000-FFFF-FFFFBE000000}" r="B58" connectionId="0">
    <xmlCellPr id="1" xr6:uid="{00000000-0010-0000-BE00-000001000000}" uniqueName="1">
      <xmlPr mapId="8" xpath="/Pisemnost/DPFDP7/VetaD/@manz_jmeno" xmlDataType="string"/>
    </xmlCellPr>
  </singleXmlCell>
  <singleXmlCell id="3544" xr6:uid="{00000000-000C-0000-FFFF-FFFFBF000000}" r="N58" connectionId="0">
    <xmlCellPr id="1" xr6:uid="{00000000-0010-0000-BF00-000001000000}" uniqueName="1">
      <xmlPr mapId="8" xpath="/Pisemnost/DPFDP7/VetaT/@vyd7proc" xmlDataType="string"/>
    </xmlCellPr>
  </singleXmlCell>
  <singleXmlCell id="3545" xr6:uid="{00000000-000C-0000-FFFF-FFFFC0000000}" r="B59" connectionId="0">
    <xmlCellPr id="1" xr6:uid="{00000000-0010-0000-C000-000001000000}" uniqueName="1">
      <xmlPr mapId="8" xpath="/Pisemnost/DPFDP7/VetaD/@manz_prijmeni" xmlDataType="string"/>
    </xmlCellPr>
  </singleXmlCell>
  <singleXmlCell id="3546" xr6:uid="{00000000-000C-0000-FFFF-FFFFC1000000}" r="B60" connectionId="0">
    <xmlCellPr id="1" xr6:uid="{00000000-0010-0000-C100-000001000000}" uniqueName="1">
      <xmlPr mapId="8" xpath="/Pisemnost/DPFDP7/VetaD/@manz_r_cislo" xmlDataType="string"/>
    </xmlCellPr>
  </singleXmlCell>
  <singleXmlCell id="3547" xr6:uid="{00000000-000C-0000-FFFF-FFFFC2000000}" r="B61" connectionId="0">
    <xmlCellPr id="1" xr6:uid="{00000000-0010-0000-C200-000001000000}" uniqueName="1">
      <xmlPr mapId="8" xpath="/Pisemnost/DPFDP7/VetaD/@manz_titul" xmlDataType="string"/>
    </xmlCellPr>
  </singleXmlCell>
  <singleXmlCell id="3548" xr6:uid="{00000000-000C-0000-FFFF-FFFFC3000000}" r="F61" connectionId="0">
    <xmlCellPr id="1" xr6:uid="{00000000-0010-0000-C300-000001000000}" uniqueName="1">
      <xmlPr mapId="8" xpath="/Pisemnost/DPFDP7/VetaU/@kc_dpfmz02" xmlDataType="decimal"/>
    </xmlCellPr>
  </singleXmlCell>
  <singleXmlCell id="3549" xr6:uid="{00000000-000C-0000-FFFF-FFFFC4000000}" r="J61" connectionId="0">
    <xmlCellPr id="1" xr6:uid="{00000000-0010-0000-C400-000001000000}" uniqueName="1">
      <xmlPr mapId="8" xpath="/Pisemnost/DPFDP7/VetaV/@kc_par9_nem" xmlDataType="decimal"/>
    </xmlCellPr>
  </singleXmlCell>
  <singleXmlCell id="3550" xr6:uid="{00000000-000C-0000-FFFF-FFFFC5000000}" r="B62" connectionId="0">
    <xmlCellPr id="1" xr6:uid="{00000000-0010-0000-C500-000001000000}" uniqueName="1">
      <xmlPr mapId="8" xpath="/Pisemnost/DPFDP7/VetaD/@pln_moc" xmlDataType="string"/>
    </xmlCellPr>
  </singleXmlCell>
  <singleXmlCell id="3551" xr6:uid="{00000000-000C-0000-FFFF-FFFFC6000000}" r="F62" connectionId="0">
    <xmlCellPr id="1" xr6:uid="{00000000-0010-0000-C600-000001000000}" uniqueName="1">
      <xmlPr mapId="8" xpath="/Pisemnost/DPFDP7/VetaU/@kc_dpfmz03" xmlDataType="decimal"/>
    </xmlCellPr>
  </singleXmlCell>
  <singleXmlCell id="3552" xr6:uid="{00000000-000C-0000-FFFF-FFFFC7000000}" r="J62" connectionId="0">
    <xmlCellPr id="1" xr6:uid="{00000000-0010-0000-C700-000001000000}" uniqueName="1">
      <xmlPr mapId="8" xpath="/Pisemnost/DPFDP7/VetaV/@kc_prij10" xmlDataType="decimal"/>
    </xmlCellPr>
  </singleXmlCell>
  <singleXmlCell id="3553" xr6:uid="{00000000-000C-0000-FFFF-FFFFC8000000}" r="B63" connectionId="0">
    <xmlCellPr id="1" xr6:uid="{00000000-0010-0000-C800-000001000000}" uniqueName="1">
      <xmlPr mapId="8" xpath="/Pisemnost/DPFDP7/VetaD/@prop_zahr" xmlDataType="string"/>
    </xmlCellPr>
  </singleXmlCell>
  <singleXmlCell id="3554" xr6:uid="{00000000-000C-0000-FFFF-FFFFC9000000}" r="F63" connectionId="0">
    <xmlCellPr id="1" xr6:uid="{00000000-0010-0000-C900-000001000000}" uniqueName="1">
      <xmlPr mapId="8" xpath="/Pisemnost/DPFDP7/VetaU/@kc_dpfmz04" xmlDataType="decimal"/>
    </xmlCellPr>
  </singleXmlCell>
  <singleXmlCell id="3555" xr6:uid="{00000000-000C-0000-FFFF-FFFFCA000000}" r="J63" connectionId="0">
    <xmlCellPr id="1" xr6:uid="{00000000-0010-0000-CA00-000001000000}" uniqueName="1">
      <xmlPr mapId="8" xpath="/Pisemnost/DPFDP7/VetaV/@kc_prij9" xmlDataType="decimal"/>
    </xmlCellPr>
  </singleXmlCell>
  <singleXmlCell id="3556" xr6:uid="{00000000-000C-0000-FFFF-FFFFCB000000}" r="B64" connectionId="0">
    <xmlCellPr id="1" xr6:uid="{00000000-0010-0000-CB00-000001000000}" uniqueName="1">
      <xmlPr mapId="8" xpath="/Pisemnost/DPFDP7/VetaD/@rok" xmlDataType="decimal"/>
    </xmlCellPr>
  </singleXmlCell>
  <singleXmlCell id="3557" xr6:uid="{00000000-000C-0000-FFFF-FFFFCC000000}" r="F64" connectionId="0">
    <xmlCellPr id="1" xr6:uid="{00000000-0010-0000-CC00-000001000000}" uniqueName="1">
      <xmlPr mapId="8" xpath="/Pisemnost/DPFDP7/VetaU/@kc_dpfmz05a" xmlDataType="decimal"/>
    </xmlCellPr>
  </singleXmlCell>
  <singleXmlCell id="3558" xr6:uid="{00000000-000C-0000-FFFF-FFFFCD000000}" r="J64" connectionId="0">
    <xmlCellPr id="1" xr6:uid="{00000000-0010-0000-CD00-000001000000}" uniqueName="1">
      <xmlPr mapId="8" xpath="/Pisemnost/DPFDP7/VetaV/@kc_rezerv_k" xmlDataType="decimal"/>
    </xmlCellPr>
  </singleXmlCell>
  <singleXmlCell id="3559" xr6:uid="{00000000-000C-0000-FFFF-FFFFCE000000}" r="B65" connectionId="0">
    <xmlCellPr id="1" xr6:uid="{00000000-0010-0000-CE00-000001000000}" uniqueName="1">
      <xmlPr mapId="8" xpath="/Pisemnost/DPFDP7/VetaD/@sleva_rp" xmlDataType="decimal"/>
    </xmlCellPr>
  </singleXmlCell>
  <singleXmlCell id="3560" xr6:uid="{00000000-000C-0000-FFFF-FFFFCF000000}" r="F65" connectionId="0">
    <xmlCellPr id="1" xr6:uid="{00000000-0010-0000-CF00-000001000000}" uniqueName="1">
      <xmlPr mapId="8" xpath="/Pisemnost/DPFDP7/VetaU/@kc_dpfmz06" xmlDataType="decimal"/>
    </xmlCellPr>
  </singleXmlCell>
  <singleXmlCell id="3561" xr6:uid="{00000000-000C-0000-FFFF-FFFFD0000000}" r="J65" connectionId="0">
    <xmlCellPr id="1" xr6:uid="{00000000-0010-0000-D000-000001000000}" uniqueName="1">
      <xmlPr mapId="8" xpath="/Pisemnost/DPFDP7/VetaV/@kc_rezerv_z" xmlDataType="decimal"/>
    </xmlCellPr>
  </singleXmlCell>
  <singleXmlCell id="3562" xr6:uid="{00000000-000C-0000-FFFF-FFFFD1000000}" r="F66" connectionId="0">
    <xmlCellPr id="1" xr6:uid="{00000000-0010-0000-D100-000001000000}" uniqueName="1">
      <xmlPr mapId="8" xpath="/Pisemnost/DPFDP7/VetaU/@kc_dpfmz08" xmlDataType="decimal"/>
    </xmlCellPr>
  </singleXmlCell>
  <singleXmlCell id="3563" xr6:uid="{00000000-000C-0000-FFFF-FFFFD2000000}" r="J66" connectionId="0">
    <xmlCellPr id="1" xr6:uid="{00000000-0010-0000-D200-000001000000}" uniqueName="1">
      <xmlPr mapId="8" xpath="/Pisemnost/DPFDP7/VetaV/@kc_rozdil9" xmlDataType="decimal"/>
    </xmlCellPr>
  </singleXmlCell>
  <singleXmlCell id="3564" xr6:uid="{00000000-000C-0000-FFFF-FFFFD3000000}" r="B67" connectionId="0">
    <xmlCellPr id="1" xr6:uid="{00000000-0010-0000-D300-000001000000}" uniqueName="1">
      <xmlPr mapId="8" xpath="/Pisemnost/DPFDP7/VetaD/@uhrn_slevy35ba" xmlDataType="decimal"/>
    </xmlCellPr>
  </singleXmlCell>
  <singleXmlCell id="3565" xr6:uid="{00000000-000C-0000-FFFF-FFFFD4000000}" r="F67" connectionId="0">
    <xmlCellPr id="1" xr6:uid="{00000000-0010-0000-D400-000001000000}" uniqueName="1">
      <xmlPr mapId="8" xpath="/Pisemnost/DPFDP7/VetaU/@kc_dpfmz10" xmlDataType="decimal"/>
    </xmlCellPr>
  </singleXmlCell>
  <singleXmlCell id="3566" xr6:uid="{00000000-000C-0000-FFFF-FFFFD5000000}" r="J67" connectionId="0">
    <xmlCellPr id="1" xr6:uid="{00000000-0010-0000-D500-000001000000}" uniqueName="1">
      <xmlPr mapId="8" xpath="/Pisemnost/DPFDP7/VetaV/@kc_snizukon9" xmlDataType="decimal"/>
    </xmlCellPr>
  </singleXmlCell>
  <singleXmlCell id="3567" xr6:uid="{00000000-000C-0000-FFFF-FFFFD6000000}" r="B68" connectionId="0">
    <xmlCellPr id="1" xr6:uid="{00000000-0010-0000-D600-000001000000}" uniqueName="1">
      <xmlPr mapId="8" xpath="/Pisemnost/DPFDP7/VetaD/@uv_podpis" xmlDataType="string"/>
    </xmlCellPr>
  </singleXmlCell>
  <singleXmlCell id="3568" xr6:uid="{00000000-000C-0000-FFFF-FFFFD7000000}" r="F68" connectionId="0">
    <xmlCellPr id="1" xr6:uid="{00000000-0010-0000-D700-000001000000}" uniqueName="1">
      <xmlPr mapId="8" xpath="/Pisemnost/DPFDP7/VetaU/@kc_dpfmz11" xmlDataType="decimal"/>
    </xmlCellPr>
  </singleXmlCell>
  <singleXmlCell id="3569" xr6:uid="{00000000-000C-0000-FFFF-FFFFD8000000}" r="J68" connectionId="0">
    <xmlCellPr id="1" xr6:uid="{00000000-0010-0000-D800-000001000000}" uniqueName="1">
      <xmlPr mapId="8" xpath="/Pisemnost/DPFDP7/VetaV/@kc_vyd10" xmlDataType="decimal"/>
    </xmlCellPr>
  </singleXmlCell>
  <singleXmlCell id="3570" xr6:uid="{00000000-000C-0000-FFFF-FFFFD9000000}" r="B69" connectionId="0">
    <xmlCellPr id="1" xr6:uid="{00000000-0010-0000-D900-000001000000}" uniqueName="1">
      <xmlPr mapId="8" xpath="/Pisemnost/DPFDP7/VetaD/@uv_rozsah" xmlDataType="string"/>
    </xmlCellPr>
  </singleXmlCell>
  <singleXmlCell id="3571" xr6:uid="{00000000-000C-0000-FFFF-FFFFDA000000}" r="F69" connectionId="0">
    <xmlCellPr id="1" xr6:uid="{00000000-0010-0000-DA00-000001000000}" uniqueName="1">
      <xmlPr mapId="8" xpath="/Pisemnost/DPFDP7/VetaU/@kc_dpfmz18" xmlDataType="decimal"/>
    </xmlCellPr>
  </singleXmlCell>
  <singleXmlCell id="3572" xr6:uid="{00000000-000C-0000-FFFF-FFFFDB000000}" r="J69" connectionId="0">
    <xmlCellPr id="1" xr6:uid="{00000000-0010-0000-DB00-000001000000}" uniqueName="1">
      <xmlPr mapId="8" xpath="/Pisemnost/DPFDP7/VetaV/@kc_vyd9" xmlDataType="decimal"/>
    </xmlCellPr>
  </singleXmlCell>
  <singleXmlCell id="3573" xr6:uid="{00000000-000C-0000-FFFF-FFFFDC000000}" r="B70" connectionId="0">
    <xmlCellPr id="1" xr6:uid="{00000000-0010-0000-DC00-000001000000}" uniqueName="1">
      <xmlPr mapId="8" xpath="/Pisemnost/DPFDP7/VetaD/@uv_vyhl" xmlDataType="decimal"/>
    </xmlCellPr>
  </singleXmlCell>
  <singleXmlCell id="3574" xr6:uid="{00000000-000C-0000-FFFF-FFFFDD000000}" r="F70" connectionId="0">
    <xmlCellPr id="1" xr6:uid="{00000000-0010-0000-DD00-000001000000}" uniqueName="1">
      <xmlPr mapId="8" xpath="/Pisemnost/DPFDP7/VetaU/@kc_z_dpfmz02" xmlDataType="decimal"/>
    </xmlCellPr>
  </singleXmlCell>
  <singleXmlCell id="3575" xr6:uid="{00000000-000C-0000-FFFF-FFFFDE000000}" r="J70" connectionId="0">
    <xmlCellPr id="1" xr6:uid="{00000000-0010-0000-DE00-000001000000}" uniqueName="1">
      <xmlPr mapId="8" xpath="/Pisemnost/DPFDP7/VetaV/@kc_zd10p" xmlDataType="decimal"/>
    </xmlCellPr>
  </singleXmlCell>
  <singleXmlCell id="3576" xr6:uid="{00000000-000C-0000-FFFF-FFFFDF000000}" r="B71" connectionId="0">
    <xmlCellPr id="1" xr6:uid="{00000000-0010-0000-DF00-000001000000}" uniqueName="1">
      <xmlPr mapId="8" xpath="/Pisemnost/DPFDP7/VetaD/@zdobd_do" xmlDataType="string"/>
    </xmlCellPr>
  </singleXmlCell>
  <singleXmlCell id="3577" xr6:uid="{00000000-000C-0000-FFFF-FFFFE0000000}" r="F71" connectionId="0">
    <xmlCellPr id="1" xr6:uid="{00000000-0010-0000-E000-000001000000}" uniqueName="1">
      <xmlPr mapId="8" xpath="/Pisemnost/DPFDP7/VetaU/@kc_z_dpfmz03" xmlDataType="decimal"/>
    </xmlCellPr>
  </singleXmlCell>
  <singleXmlCell id="3578" xr6:uid="{00000000-000C-0000-FFFF-FFFFE1000000}" r="J71" connectionId="0">
    <xmlCellPr id="1" xr6:uid="{00000000-0010-0000-E100-000001000000}" uniqueName="1">
      <xmlPr mapId="8" xpath="/Pisemnost/DPFDP7/VetaV/@kc_zd9p" xmlDataType="decimal"/>
    </xmlCellPr>
  </singleXmlCell>
  <singleXmlCell id="3579" xr6:uid="{00000000-000C-0000-FFFF-FFFFE2000000}" r="N71" connectionId="0">
    <xmlCellPr id="1" xr6:uid="{00000000-0010-0000-E200-000001000000}" uniqueName="1">
      <xmlPr mapId="8" xpath="/Pisemnost/DPFDP7/VetaW/@da_zazahr" xmlDataType="decimal"/>
    </xmlCellPr>
  </singleXmlCell>
  <singleXmlCell id="3580" xr6:uid="{00000000-000C-0000-FFFF-FFFFE3000000}" r="B72" connectionId="0">
    <xmlCellPr id="1" xr6:uid="{00000000-0010-0000-E300-000001000000}" uniqueName="1">
      <xmlPr mapId="8" xpath="/Pisemnost/DPFDP7/VetaD/@zdobd_od" xmlDataType="string"/>
    </xmlCellPr>
  </singleXmlCell>
  <singleXmlCell id="3581" xr6:uid="{00000000-000C-0000-FFFF-FFFFE4000000}" r="F72" connectionId="0">
    <xmlCellPr id="1" xr6:uid="{00000000-0010-0000-E400-000001000000}" uniqueName="1">
      <xmlPr mapId="8" xpath="/Pisemnost/DPFDP7/VetaU/@kc_z_dpfmz04" xmlDataType="decimal"/>
    </xmlCellPr>
  </singleXmlCell>
  <singleXmlCell id="3582" xr6:uid="{00000000-000C-0000-FFFF-FFFFE5000000}" r="J72" connectionId="0">
    <xmlCellPr id="1" xr6:uid="{00000000-0010-0000-E500-000001000000}" uniqueName="1">
      <xmlPr mapId="8" xpath="/Pisemnost/DPFDP7/VetaV/@kc_zvysukon9" xmlDataType="decimal"/>
    </xmlCellPr>
  </singleXmlCell>
  <singleXmlCell id="3583" xr6:uid="{00000000-000C-0000-FFFF-FFFFE6000000}" r="N72" connectionId="0">
    <xmlCellPr id="1" xr6:uid="{00000000-0010-0000-E600-000001000000}" uniqueName="1">
      <xmlPr mapId="8" xpath="/Pisemnost/DPFDP7/VetaW/@uhrn_neuzndan" xmlDataType="decimal"/>
    </xmlCellPr>
  </singleXmlCell>
  <singleXmlCell id="3584" xr6:uid="{00000000-000C-0000-FFFF-FFFFE7000000}" r="B73" connectionId="0">
    <xmlCellPr id="1" xr6:uid="{00000000-0010-0000-E700-000001000000}" uniqueName="1">
      <xmlPr mapId="8" xpath="/Pisemnost/DPFDP7/VetaD/@m_deti2" xmlDataType="decimal"/>
    </xmlCellPr>
  </singleXmlCell>
  <singleXmlCell id="3585" xr6:uid="{00000000-000C-0000-FFFF-FFFFE8000000}" r="F73" connectionId="0">
    <xmlCellPr id="1" xr6:uid="{00000000-0010-0000-E800-000001000000}" uniqueName="1">
      <xmlPr mapId="8" xpath="/Pisemnost/DPFDP7/VetaU/@kc_z_dpfmz05a" xmlDataType="decimal"/>
    </xmlCellPr>
  </singleXmlCell>
  <singleXmlCell id="3586" xr6:uid="{00000000-000C-0000-FFFF-FFFFE9000000}" r="J73" connectionId="0">
    <xmlCellPr id="1" xr6:uid="{00000000-0010-0000-E900-000001000000}" uniqueName="1">
      <xmlPr mapId="8" xpath="/Pisemnost/DPFDP7/VetaV/@spol_jm_manz" xmlDataType="string"/>
    </xmlCellPr>
  </singleXmlCell>
  <singleXmlCell id="3587" xr6:uid="{00000000-000C-0000-FFFF-FFFFEA000000}" r="N73" connectionId="0">
    <xmlCellPr id="1" xr6:uid="{00000000-0010-0000-EA00-000001000000}" uniqueName="1">
      <xmlPr mapId="8" xpath="/Pisemnost/DPFDP7/VetaW/@uhrn_uzndan" xmlDataType="decimal"/>
    </xmlCellPr>
  </singleXmlCell>
  <singleXmlCell id="3588" xr6:uid="{00000000-000C-0000-FFFF-FFFFEB000000}" r="B74" connectionId="0">
    <xmlCellPr id="1" xr6:uid="{00000000-0010-0000-EB00-000001000000}" uniqueName="1">
      <xmlPr mapId="8" xpath="/Pisemnost/DPFDP7/VetaD/@m_deti3" xmlDataType="decimal"/>
    </xmlCellPr>
  </singleXmlCell>
  <singleXmlCell id="3589" xr6:uid="{00000000-000C-0000-FFFF-FFFFEC000000}" r="F74" connectionId="0">
    <xmlCellPr id="1" xr6:uid="{00000000-0010-0000-EC00-000001000000}" uniqueName="1">
      <xmlPr mapId="8" xpath="/Pisemnost/DPFDP7/VetaU/@kc_z_dpfmz06" xmlDataType="decimal"/>
    </xmlCellPr>
  </singleXmlCell>
  <singleXmlCell id="3590" xr6:uid="{00000000-000C-0000-FFFF-FFFFED000000}" r="J74" connectionId="0">
    <xmlCellPr id="1" xr6:uid="{00000000-0010-0000-ED00-000001000000}" uniqueName="1">
      <xmlPr mapId="8" xpath="/Pisemnost/DPFDP7/VetaV/@uhrn_prijmy10" xmlDataType="decimal"/>
    </xmlCellPr>
  </singleXmlCell>
  <singleXmlCell id="3591" xr6:uid="{00000000-000C-0000-FFFF-FFFFEE000000}" r="N74" connectionId="0">
    <xmlCellPr id="1" xr6:uid="{00000000-0010-0000-EE00-000001000000}" uniqueName="1">
      <xmlPr mapId="8" xpath="/Pisemnost/DPFDP7/VetaW/@kc_vynprij" xmlDataType="decimal"/>
    </xmlCellPr>
  </singleXmlCell>
  <singleXmlCell id="3592" xr6:uid="{00000000-000C-0000-FFFF-FFFFEF000000}" r="B75" connectionId="0">
    <xmlCellPr id="1" xr6:uid="{00000000-0010-0000-EF00-000001000000}" uniqueName="1">
      <xmlPr mapId="8" xpath="/Pisemnost/DPFDP7/VetaD/@m_detiztpp2" xmlDataType="decimal"/>
    </xmlCellPr>
  </singleXmlCell>
  <singleXmlCell id="3593" xr6:uid="{00000000-000C-0000-FFFF-FFFFF0000000}" r="F75" connectionId="0">
    <xmlCellPr id="1" xr6:uid="{00000000-0010-0000-F000-000001000000}" uniqueName="1">
      <xmlPr mapId="8" xpath="/Pisemnost/DPFDP7/VetaU/@kc_z_dpfmz08" xmlDataType="decimal"/>
    </xmlCellPr>
  </singleXmlCell>
  <singleXmlCell id="3594" xr6:uid="{00000000-000C-0000-FFFF-FFFFF1000000}" r="J75" connectionId="0">
    <xmlCellPr id="1" xr6:uid="{00000000-0010-0000-F100-000001000000}" uniqueName="1">
      <xmlPr mapId="8" xpath="/Pisemnost/DPFDP7/VetaV/@uhrn_rozdil10" xmlDataType="decimal"/>
    </xmlCellPr>
  </singleXmlCell>
  <singleXmlCell id="3595" xr6:uid="{00000000-000C-0000-FFFF-FFFFF2000000}" r="N75" connectionId="0">
    <xmlCellPr id="1" xr6:uid="{00000000-0010-0000-F200-000001000000}" uniqueName="1">
      <xmlPr mapId="8" xpath="/Pisemnost/DPFDP7/VetaW/@kc_vynprij_6" xmlDataType="decimal"/>
    </xmlCellPr>
  </singleXmlCell>
  <singleXmlCell id="3596" xr6:uid="{00000000-000C-0000-FFFF-FFFFF3000000}" r="B76" connectionId="0">
    <xmlCellPr id="1" xr6:uid="{00000000-0010-0000-F300-000001000000}" uniqueName="1">
      <xmlPr mapId="8" xpath="/Pisemnost/DPFDP7/VetaD/@m_detiztpp3" xmlDataType="decimal"/>
    </xmlCellPr>
  </singleXmlCell>
  <singleXmlCell id="3597" xr6:uid="{00000000-000C-0000-FFFF-FFFFF4000000}" r="F76" connectionId="0">
    <xmlCellPr id="1" xr6:uid="{00000000-0010-0000-F400-000001000000}" uniqueName="1">
      <xmlPr mapId="8" xpath="/Pisemnost/DPFDP7/VetaU/@kc_z_dpfmz10" xmlDataType="decimal"/>
    </xmlCellPr>
  </singleXmlCell>
  <singleXmlCell id="3598" xr6:uid="{00000000-000C-0000-FFFF-FFFFF5000000}" r="J76" connectionId="0">
    <xmlCellPr id="1" xr6:uid="{00000000-0010-0000-F500-000001000000}" uniqueName="1">
      <xmlPr mapId="8" xpath="/Pisemnost/DPFDP7/VetaV/@uhrn_vydaje10" xmlDataType="decimal"/>
    </xmlCellPr>
  </singleXmlCell>
  <singleXmlCell id="3599" xr6:uid="{00000000-000C-0000-FFFF-FFFFF6000000}" r="N76" connectionId="0">
    <xmlCellPr id="1" xr6:uid="{00000000-0010-0000-F600-000001000000}" uniqueName="1">
      <xmlPr mapId="8" xpath="/Pisemnost/DPFDP7/VetaW/@roz_od10" xmlDataType="decimal"/>
    </xmlCellPr>
  </singleXmlCell>
  <singleXmlCell id="3600" xr6:uid="{00000000-000C-0000-FFFF-FFFFF7000000}" r="B77" connectionId="0">
    <xmlCellPr id="1" xr6:uid="{00000000-0010-0000-F700-000001000000}" uniqueName="1">
      <xmlPr mapId="8" xpath="/Pisemnost/DPFDP7/VetaD/@manz_d_nar" xmlDataType="string"/>
    </xmlCellPr>
  </singleXmlCell>
  <singleXmlCell id="3601" xr6:uid="{00000000-000C-0000-FFFF-FFFFF8000000}" r="F77" connectionId="0">
    <xmlCellPr id="1" xr6:uid="{00000000-0010-0000-F800-000001000000}" uniqueName="1">
      <xmlPr mapId="8" xpath="/Pisemnost/DPFDP7/VetaU/@kc_z_dpfmz11" xmlDataType="decimal"/>
    </xmlCellPr>
  </singleXmlCell>
  <singleXmlCell id="3602" xr6:uid="{00000000-000C-0000-FFFF-FFFFF9000000}" r="J77" connectionId="0">
    <xmlCellPr id="1" xr6:uid="{00000000-0010-0000-F900-000001000000}" uniqueName="1">
      <xmlPr mapId="8" xpath="/Pisemnost/DPFDP7/VetaV/@vyd9proc" xmlDataType="string"/>
    </xmlCellPr>
  </singleXmlCell>
  <singleXmlCell id="3603" xr6:uid="{00000000-000C-0000-FFFF-FFFFFA000000}" r="N77" connectionId="0">
    <xmlCellPr id="1" xr6:uid="{00000000-0010-0000-FA00-000001000000}" uniqueName="1">
      <xmlPr mapId="8" xpath="/Pisemnost/DPFDP7/VetaW/@kc_zakztr" xmlDataType="decimal"/>
    </xmlCellPr>
  </singleXmlCell>
  <singleXmlCell id="3604" xr6:uid="{00000000-000C-0000-FFFF-FFFFFB000000}" r="N78" connectionId="0">
    <xmlCellPr id="1" xr6:uid="{00000000-0010-0000-FB00-000001000000}" uniqueName="1">
      <xmlPr mapId="8" xpath="/Pisemnost/DPFDP7/VetaW/@proc_od10" xmlDataType="decimal"/>
    </xmlCellPr>
  </singleXmlCell>
  <singleXmlCell id="3605" xr6:uid="{00000000-000C-0000-FFFF-FFFFFC000000}" r="N79" connectionId="0">
    <xmlCellPr id="1" xr6:uid="{00000000-0010-0000-FC00-000001000000}" uniqueName="1">
      <xmlPr mapId="8" xpath="/Pisemnost/DPFDP7/VetaW/@da_vzahod9" xmlDataType="decimal"/>
    </xmlCellPr>
  </singleXmlCell>
  <singleXmlCell id="3606" xr6:uid="{00000000-000C-0000-FFFF-FFFFFD000000}" r="B80" connectionId="0">
    <xmlCellPr id="1" xr6:uid="{00000000-0010-0000-FD00-000001000000}" uniqueName="1">
      <xmlPr mapId="8" xpath="/Pisemnost/DPFDP7/VetaD/@da_samzakl" xmlDataType="decimal"/>
    </xmlCellPr>
  </singleXmlCell>
  <singleXmlCell id="3607" xr6:uid="{00000000-000C-0000-FFFF-FFFFFE000000}" r="B81" connectionId="0">
    <xmlCellPr id="1" xr6:uid="{00000000-0010-0000-FE00-000001000000}" uniqueName="1">
      <xmlPr mapId="8" xpath="/Pisemnost/DPFDP7/VetaD/@kc_dan_celk" xmlDataType="decimal"/>
    </xmlCellPr>
  </singleXmlCell>
  <singleXmlCell id="3608" xr6:uid="{00000000-000C-0000-FFFF-FFFFFF000000}" r="B82" connectionId="0">
    <xmlCellPr id="1" xr6:uid="{00000000-0010-0000-FF00-000001000000}" uniqueName="1">
      <xmlPr mapId="8" xpath="/Pisemnost/DPFDP7/VetaD/@kc_dan_po_db" xmlDataType="decimal"/>
    </xmlCellPr>
  </singleXmlCell>
  <singleXmlCell id="3609" xr6:uid="{00000000-000C-0000-FFFF-FFFF00010000}" r="B83" connectionId="0">
    <xmlCellPr id="1" xr6:uid="{00000000-0010-0000-0001-000001000000}" uniqueName="1">
      <xmlPr mapId="8" xpath="/Pisemnost/DPFDP7/VetaD/@kc_db_po_odpd" xmlDataType="decimal"/>
    </xmlCellPr>
  </singleXmlCell>
  <singleXmlCell id="3610" xr6:uid="{00000000-000C-0000-FFFF-FFFF01010000}" r="B88" connectionId="0">
    <xmlCellPr id="1" xr6:uid="{00000000-0010-0000-0101-000001000000}" uniqueName="1">
      <xmlPr mapId="8" xpath="/Pisemnost/DPFDP7/VetaN/@c_nest_uctu" xmlDataType="string"/>
    </xmlCellPr>
  </singleXmlCell>
  <singleXmlCell id="3611" xr6:uid="{00000000-000C-0000-FFFF-FFFF02010000}" r="B89" connectionId="0">
    <xmlCellPr id="1" xr6:uid="{00000000-0010-0000-0201-000001000000}" uniqueName="1">
      <xmlPr mapId="8" xpath="/Pisemnost/DPFDP7/VetaN/@id_banky" xmlDataType="string"/>
    </xmlCellPr>
  </singleXmlCell>
  <singleXmlCell id="3612" xr6:uid="{00000000-000C-0000-FFFF-FFFF03010000}" r="B90" connectionId="0">
    <xmlCellPr id="1" xr6:uid="{00000000-0010-0000-0301-000001000000}" uniqueName="1">
      <xmlPr mapId="8" xpath="/Pisemnost/DPFDP7/VetaN/@k_meny_uctu" xmlDataType="string"/>
    </xmlCellPr>
  </singleXmlCell>
  <singleXmlCell id="3613" xr6:uid="{00000000-000C-0000-FFFF-FFFF04010000}" r="B91" connectionId="0">
    <xmlCellPr id="1" xr6:uid="{00000000-0010-0000-0401-000001000000}" uniqueName="1">
      <xmlPr mapId="8" xpath="/Pisemnost/DPFDP7/VetaN/@k_stat_banky" xmlDataType="string"/>
    </xmlCellPr>
  </singleXmlCell>
  <singleXmlCell id="3614" xr6:uid="{00000000-000C-0000-FFFF-FFFF05010000}" r="B92" connectionId="0">
    <xmlCellPr id="1" xr6:uid="{00000000-0010-0000-0501-000001000000}" uniqueName="1">
      <xmlPr mapId="8" xpath="/Pisemnost/DPFDP7/VetaN/@kc_preplatek" xmlDataType="decimal"/>
    </xmlCellPr>
  </singleXmlCell>
  <singleXmlCell id="3615" xr6:uid="{00000000-000C-0000-FFFF-FFFF06010000}" r="B93" connectionId="0">
    <xmlCellPr id="1" xr6:uid="{00000000-0010-0000-0601-000001000000}" uniqueName="1">
      <xmlPr mapId="8" xpath="/Pisemnost/DPFDP7/VetaN/@mesto_banky" xmlDataType="string"/>
    </xmlCellPr>
  </singleXmlCell>
  <singleXmlCell id="3616" xr6:uid="{00000000-000C-0000-FFFF-FFFF07010000}" r="B94" connectionId="0">
    <xmlCellPr id="1" xr6:uid="{00000000-0010-0000-0701-000001000000}" uniqueName="1">
      <xmlPr mapId="8" xpath="/Pisemnost/DPFDP7/VetaN/@mesto_prij" xmlDataType="string"/>
    </xmlCellPr>
  </singleXmlCell>
  <singleXmlCell id="3617" xr6:uid="{00000000-000C-0000-FFFF-FFFF08010000}" r="B95" connectionId="0">
    <xmlCellPr id="1" xr6:uid="{00000000-0010-0000-0801-000001000000}" uniqueName="1">
      <xmlPr mapId="8" xpath="/Pisemnost/DPFDP7/VetaN/@naz_adr_banky" xmlDataType="string"/>
    </xmlCellPr>
  </singleXmlCell>
  <singleXmlCell id="3618" xr6:uid="{00000000-000C-0000-FFFF-FFFF09010000}" r="B96" connectionId="0">
    <xmlCellPr id="1" xr6:uid="{00000000-0010-0000-0901-000001000000}" uniqueName="1">
      <xmlPr mapId="8" xpath="/Pisemnost/DPFDP7/VetaN/@nazev_prij" xmlDataType="string"/>
    </xmlCellPr>
  </singleXmlCell>
  <singleXmlCell id="3619" xr6:uid="{00000000-000C-0000-FFFF-FFFF0A010000}" r="B97" connectionId="0">
    <xmlCellPr id="1" xr6:uid="{00000000-0010-0000-0A01-000001000000}" uniqueName="1">
      <xmlPr mapId="8" xpath="/Pisemnost/DPFDP7/VetaN/@psc_banky" xmlDataType="string"/>
    </xmlCellPr>
  </singleXmlCell>
  <singleXmlCell id="3620" xr6:uid="{00000000-000C-0000-FFFF-FFFF0B010000}" r="B98" connectionId="0">
    <xmlCellPr id="1" xr6:uid="{00000000-0010-0000-0B01-000001000000}" uniqueName="1">
      <xmlPr mapId="8" xpath="/Pisemnost/DPFDP7/VetaN/@psc_prij" xmlDataType="string"/>
    </xmlCellPr>
  </singleXmlCell>
  <singleXmlCell id="3621" xr6:uid="{00000000-000C-0000-FFFF-FFFF0C010000}" r="B99" connectionId="0">
    <xmlCellPr id="1" xr6:uid="{00000000-0010-0000-0C01-000001000000}" uniqueName="1">
      <xmlPr mapId="8" xpath="/Pisemnost/DPFDP7/VetaN/@region_banky" xmlDataType="string"/>
    </xmlCellPr>
  </singleXmlCell>
  <singleXmlCell id="3622" xr6:uid="{00000000-000C-0000-FFFF-FFFF0D010000}" r="B100" connectionId="0">
    <xmlCellPr id="1" xr6:uid="{00000000-0010-0000-0D01-000001000000}" uniqueName="1">
      <xmlPr mapId="8" xpath="/Pisemnost/DPFDP7/VetaN/@region_prij" xmlDataType="string"/>
    </xmlCellPr>
  </singleXmlCell>
  <singleXmlCell id="3623" xr6:uid="{00000000-000C-0000-FFFF-FFFF0E010000}" r="B101" connectionId="0">
    <xmlCellPr id="1" xr6:uid="{00000000-0010-0000-0E01-000001000000}" uniqueName="1">
      <xmlPr mapId="8" xpath="/Pisemnost/DPFDP7/VetaN/@stat_prij" xmlDataType="string"/>
    </xmlCellPr>
  </singleXmlCell>
  <singleXmlCell id="3624" xr6:uid="{00000000-000C-0000-FFFF-FFFF0F010000}" r="B102" connectionId="0">
    <xmlCellPr id="1" xr6:uid="{00000000-0010-0000-0F01-000001000000}" uniqueName="1">
      <xmlPr mapId="8" xpath="/Pisemnost/DPFDP7/VetaN/@sym_plvmpv" xmlDataType="string"/>
    </xmlCellPr>
  </singleXmlCell>
  <singleXmlCell id="3625" xr6:uid="{00000000-000C-0000-FFFF-FFFF10010000}" r="B103" connectionId="0">
    <xmlCellPr id="1" xr6:uid="{00000000-0010-0000-1001-000001000000}" uniqueName="1">
      <xmlPr mapId="8" xpath="/Pisemnost/DPFDP7/VetaN/@ulice_banky" xmlDataType="string"/>
    </xmlCellPr>
  </singleXmlCell>
  <singleXmlCell id="3626" xr6:uid="{00000000-000C-0000-FFFF-FFFF11010000}" r="B104" connectionId="0">
    <xmlCellPr id="1" xr6:uid="{00000000-0010-0000-1101-000001000000}" uniqueName="1">
      <xmlPr mapId="8" xpath="/Pisemnost/DPFDP7/VetaN/@ulice_prij" xmlDataType="string"/>
    </xmlCellPr>
  </singleXmlCell>
  <singleXmlCell id="3627" xr6:uid="{00000000-000C-0000-FFFF-FFFF12010000}" r="B105" connectionId="0">
    <xmlCellPr id="1" xr6:uid="{00000000-0010-0000-1201-000001000000}" uniqueName="1">
      <xmlPr mapId="8" xpath="/Pisemnost/DPFDP7/VetaN/@zp_vrac" xmlDataType="string"/>
    </xmlCellPr>
  </singleXmlCell>
  <singleXmlCell id="3628" xr6:uid="{00000000-000C-0000-FFFF-FFFF13010000}" r="B106" connectionId="0">
    <xmlCellPr id="1" xr6:uid="{00000000-0010-0000-1301-000001000000}" uniqueName="1">
      <xmlPr mapId="8" xpath="/Pisemnost/DPFDP7/VetaN/@zvp_c_komds" xmlDataType="string"/>
    </xmlCellPr>
  </singleXmlCell>
  <singleXmlCell id="3629" xr6:uid="{00000000-000C-0000-FFFF-FFFF14010000}" r="B107" connectionId="0">
    <xmlCellPr id="1" xr6:uid="{00000000-0010-0000-1401-000001000000}" uniqueName="1">
      <xmlPr mapId="8" xpath="/Pisemnost/DPFDP7/VetaN/@zvp_c_obce" xmlDataType="decimal"/>
    </xmlCellPr>
  </singleXmlCell>
  <singleXmlCell id="3630" xr6:uid="{00000000-000C-0000-FFFF-FFFF15010000}" r="B108" connectionId="0">
    <xmlCellPr id="1" xr6:uid="{00000000-0010-0000-1501-000001000000}" uniqueName="1">
      <xmlPr mapId="8" xpath="/Pisemnost/DPFDP7/VetaN/@zvp_c_orient" xmlDataType="string"/>
    </xmlCellPr>
  </singleXmlCell>
  <singleXmlCell id="3631" xr6:uid="{00000000-000C-0000-FFFF-FFFF16010000}" r="B109" connectionId="0">
    <xmlCellPr id="1" xr6:uid="{00000000-0010-0000-1601-000001000000}" uniqueName="1">
      <xmlPr mapId="8" xpath="/Pisemnost/DPFDP7/VetaN/@zvp_c_pop" xmlDataType="decimal"/>
    </xmlCellPr>
  </singleXmlCell>
  <singleXmlCell id="3632" xr6:uid="{00000000-000C-0000-FFFF-FFFF17010000}" r="B110" connectionId="0">
    <xmlCellPr id="1" xr6:uid="{00000000-0010-0000-1701-000001000000}" uniqueName="1">
      <xmlPr mapId="8" xpath="/Pisemnost/DPFDP7/VetaN/@zvp_jmeno" xmlDataType="string"/>
    </xmlCellPr>
  </singleXmlCell>
  <singleXmlCell id="3633" xr6:uid="{00000000-000C-0000-FFFF-FFFF18010000}" r="B111" connectionId="0">
    <xmlCellPr id="1" xr6:uid="{00000000-0010-0000-1801-000001000000}" uniqueName="1">
      <xmlPr mapId="8" xpath="/Pisemnost/DPFDP7/VetaN/@zvp_k_bank" xmlDataType="decimal"/>
    </xmlCellPr>
  </singleXmlCell>
  <singleXmlCell id="3634" xr6:uid="{00000000-000C-0000-FFFF-FFFF19010000}" r="B112" connectionId="0">
    <xmlCellPr id="1" xr6:uid="{00000000-0010-0000-1901-000001000000}" uniqueName="1">
      <xmlPr mapId="8" xpath="/Pisemnost/DPFDP7/VetaN/@zvp_naz_bank" xmlDataType="string"/>
    </xmlCellPr>
  </singleXmlCell>
  <singleXmlCell id="3635" xr6:uid="{00000000-000C-0000-FFFF-FFFF1A010000}" r="B113" connectionId="0">
    <xmlCellPr id="1" xr6:uid="{00000000-0010-0000-1A01-000001000000}" uniqueName="1">
      <xmlPr mapId="8" xpath="/Pisemnost/DPFDP7/VetaN/@zvp_naz_obce" xmlDataType="string"/>
    </xmlCellPr>
  </singleXmlCell>
  <singleXmlCell id="3636" xr6:uid="{00000000-000C-0000-FFFF-FFFF1B010000}" r="B114" connectionId="0">
    <xmlCellPr id="1" xr6:uid="{00000000-0010-0000-1B01-000001000000}" uniqueName="1">
      <xmlPr mapId="8" xpath="/Pisemnost/DPFDP7/VetaN/@zvp_pbu" xmlDataType="decimal"/>
    </xmlCellPr>
  </singleXmlCell>
  <singleXmlCell id="3637" xr6:uid="{00000000-000C-0000-FFFF-FFFF1C010000}" r="B115" connectionId="0">
    <xmlCellPr id="1" xr6:uid="{00000000-0010-0000-1C01-000001000000}" uniqueName="1">
      <xmlPr mapId="8" xpath="/Pisemnost/DPFDP7/VetaN/@zvp_prijmeni" xmlDataType="string"/>
    </xmlCellPr>
  </singleXmlCell>
  <singleXmlCell id="3638" xr6:uid="{00000000-000C-0000-FFFF-FFFF1D010000}" r="B116" connectionId="0">
    <xmlCellPr id="1" xr6:uid="{00000000-0010-0000-1D01-000001000000}" uniqueName="1">
      <xmlPr mapId="8" xpath="/Pisemnost/DPFDP7/VetaN/@zvp_psc" xmlDataType="decimal"/>
    </xmlCellPr>
  </singleXmlCell>
  <singleXmlCell id="3639" xr6:uid="{00000000-000C-0000-FFFF-FFFF1E010000}" r="B117" connectionId="0">
    <xmlCellPr id="1" xr6:uid="{00000000-0010-0000-1E01-000001000000}" uniqueName="1">
      <xmlPr mapId="8" xpath="/Pisemnost/DPFDP7/VetaN/@zvp_spec_symb" xmlDataType="string"/>
    </xmlCellPr>
  </singleXmlCell>
  <singleXmlCell id="3640" xr6:uid="{00000000-000C-0000-FFFF-FFFF1F010000}" r="B118" connectionId="0">
    <xmlCellPr id="1" xr6:uid="{00000000-0010-0000-1F01-000001000000}" uniqueName="1">
      <xmlPr mapId="8" xpath="/Pisemnost/DPFDP7/VetaN/@zvp_titul" xmlDataType="string"/>
    </xmlCellPr>
  </singleXmlCell>
  <singleXmlCell id="3641" xr6:uid="{00000000-000C-0000-FFFF-FFFF20010000}" r="B119" connectionId="0">
    <xmlCellPr id="1" xr6:uid="{00000000-0010-0000-2001-000001000000}" uniqueName="1">
      <xmlPr mapId="8" xpath="/Pisemnost/DPFDP7/VetaN/@zvp_ulice" xmlDataType="string"/>
    </xmlCellPr>
  </singleXmlCell>
  <singleXmlCell id="1" xr6:uid="{00000000-000C-0000-FFFF-FFFF21010000}" r="B84" connectionId="0">
    <xmlCellPr id="1" xr6:uid="{00000000-0010-0000-2101-000001000000}" uniqueName="kc_sleva_exe">
      <xmlPr mapId="8" xpath="/Pisemnost/DPFDP7/VetaD/@kc_sleva_exe" xmlDataType="decimal"/>
    </xmlCellPr>
  </singleXmlCell>
  <singleXmlCell id="2" xr6:uid="{00000000-000C-0000-FFFF-FFFF22010000}" r="N18" connectionId="0">
    <xmlCellPr id="1" xr6:uid="{00000000-0010-0000-2201-000001000000}" uniqueName="kc_op15_inpr">
      <xmlPr mapId="8" xpath="/Pisemnost/DPFDP7/VetaS/@kc_op15_inpr" xmlDataType="decimal"/>
    </xmlCellPr>
  </singleXmlCell>
  <singleXmlCell id="3" xr6:uid="{00000000-000C-0000-FFFF-FFFF23010000}" r="N19" connectionId="0">
    <xmlCellPr id="1" xr6:uid="{00000000-0010-0000-2301-000001000000}" uniqueName="kc_op15_pece">
      <xmlPr mapId="8" xpath="/Pisemnost/DPFDP7/VetaS/@kc_op15_pece" xmlDataType="decimal"/>
    </xmlCellPr>
  </singleXmlCell>
  <singleXmlCell id="4" xr6:uid="{00000000-000C-0000-FFFF-FFFF24010000}" r="J55" connectionId="0">
    <xmlCellPr id="1" xr6:uid="{00000000-0010-0000-2401-000001000000}" uniqueName="usn_exe">
      <xmlPr mapId="8" xpath="/Pisemnost/DPFDP7/VetaB/@usn_exe" xmlDataType="decimal"/>
    </xmlCellPr>
  </singleXmlCell>
  <singleXmlCell id="5" xr6:uid="{00000000-000C-0000-FFFF-FFFF25010000}" r="J56" connectionId="0">
    <xmlCellPr id="1" xr6:uid="{00000000-0010-0000-2501-000001000000}" uniqueName="potv_inpr">
      <xmlPr mapId="8" xpath="/Pisemnost/DPFDP7/VetaB/@potv_inpr" xmlDataType="decimal"/>
    </xmlCellPr>
  </singleXmlCell>
  <singleXmlCell id="6" xr6:uid="{00000000-000C-0000-FFFF-FFFF26010000}" r="J57" connectionId="0">
    <xmlCellPr id="1" xr6:uid="{00000000-0010-0000-2601-000001000000}"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tableSingleCells" Target="../tables/tableSingleCells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23.bin"/><Relationship Id="rId4"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27.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28.bin"/><Relationship Id="rId4"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isspr.mfcr.cz/pmd/epo/formulare?nacteni=1" TargetMode="External"/><Relationship Id="rId1" Type="http://schemas.openxmlformats.org/officeDocument/2006/relationships/hyperlink" Target="http://business.center.cz/business/sablony/s110-ucetni-zaverka-v-plnem-rozsahu.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business.center.cz/business/sablony/s3-priznani-k-dani-z-prijmu-fyzickych-osob.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718"/>
  <sheetViews>
    <sheetView topLeftCell="F1" workbookViewId="0">
      <selection activeCell="N715" sqref="N715"/>
    </sheetView>
  </sheetViews>
  <sheetFormatPr defaultRowHeight="12.75"/>
  <cols>
    <col min="2" max="2" width="27.42578125" customWidth="1"/>
    <col min="5" max="5" width="22.28515625" customWidth="1"/>
    <col min="8" max="8" width="26.140625" customWidth="1"/>
    <col min="10" max="10" width="37.28515625" customWidth="1"/>
    <col min="14" max="14" width="44.85546875" customWidth="1"/>
  </cols>
  <sheetData>
    <row r="1" spans="1:26" ht="13.5" thickBot="1">
      <c r="A1" s="263"/>
      <c r="B1" s="263"/>
      <c r="C1" s="263"/>
      <c r="D1" s="264"/>
      <c r="E1" s="263"/>
      <c r="F1" s="263"/>
      <c r="G1" s="263"/>
      <c r="H1" s="263"/>
      <c r="I1" s="263"/>
      <c r="O1" s="265"/>
    </row>
    <row r="2" spans="1:26" ht="12.75" customHeight="1" thickBot="1">
      <c r="A2" s="263"/>
      <c r="B2" s="266" t="s">
        <v>704</v>
      </c>
      <c r="C2" s="267"/>
      <c r="D2" s="268"/>
      <c r="E2" s="269" t="s">
        <v>705</v>
      </c>
      <c r="F2" s="270"/>
      <c r="G2" s="269">
        <f>COUNTIF(H3:H210,"?*")</f>
        <v>202</v>
      </c>
      <c r="H2" s="271"/>
      <c r="I2" s="263"/>
      <c r="J2" s="272" t="s">
        <v>706</v>
      </c>
      <c r="M2" s="273" t="s">
        <v>707</v>
      </c>
      <c r="N2" s="274" t="s">
        <v>708</v>
      </c>
      <c r="O2" s="275" t="s">
        <v>709</v>
      </c>
      <c r="P2" s="276"/>
      <c r="Q2" s="272"/>
    </row>
    <row r="3" spans="1:26" ht="12.75" customHeight="1">
      <c r="A3" s="263"/>
      <c r="B3" s="277" t="s">
        <v>710</v>
      </c>
      <c r="C3" s="278">
        <v>451</v>
      </c>
      <c r="D3" s="279">
        <f>IF(ISNUMBER(SEARCH(ZAKL_DATA!$B$14,E3)),MAX($D$2:D2)+1,0)</f>
        <v>1</v>
      </c>
      <c r="E3" s="280" t="s">
        <v>711</v>
      </c>
      <c r="F3" s="281">
        <v>2001</v>
      </c>
      <c r="G3" s="282"/>
      <c r="H3" s="283" t="str">
        <f>IFERROR(VLOOKUP(ROWS($H$3:H3),$D$3:$E$204,2,0),"")</f>
        <v>PRAHA 1</v>
      </c>
      <c r="I3" s="263"/>
      <c r="J3" s="284" t="s">
        <v>712</v>
      </c>
      <c r="K3" s="285" t="s">
        <v>162</v>
      </c>
      <c r="M3" s="286">
        <f>IF(ISNUMBER(SEARCH(ZAKL_DATA!$B$29,N3)),MAX($M$2:M2)+1,0)</f>
        <v>1</v>
      </c>
      <c r="N3" s="791" t="s">
        <v>1775</v>
      </c>
      <c r="O3" s="791" t="s">
        <v>3135</v>
      </c>
      <c r="Q3" s="288" t="str">
        <f>IFERROR(VLOOKUP(ROWS($Q$3:Q3),$M$3:$N$718,2,0),"")</f>
        <v>Administrativní a kancelářské činnosti</v>
      </c>
      <c r="R3">
        <f>IF(ISNUMBER(SEARCH('1Př1'!$A$32,N3)),MAX($M$2:M2)+1,0)</f>
        <v>1</v>
      </c>
      <c r="S3" s="287" t="s">
        <v>713</v>
      </c>
      <c r="T3" t="str">
        <f>IFERROR(VLOOKUP(ROWS($T$3:T3),$R$3:$S$718,2,0),"")</f>
        <v>Rostlinná a živočišná výroba, myslivost a související činnosti</v>
      </c>
      <c r="U3">
        <f>IF(ISNUMBER(SEARCH('1Př1'!$A$33,N3)),MAX($M$2:M2)+1,0)</f>
        <v>1</v>
      </c>
      <c r="V3" s="287" t="s">
        <v>713</v>
      </c>
      <c r="W3" t="str">
        <f>IFERROR(VLOOKUP(ROWS($W$3:W3),$U$3:$V$718,2,0),"")</f>
        <v>Rostlinná a živočišná výroba, myslivost a související činnosti</v>
      </c>
      <c r="X3">
        <f>IF(ISNUMBER(SEARCH('1Př1'!$A$34,N3)),MAX($M$2:M2)+1,0)</f>
        <v>1</v>
      </c>
      <c r="Y3" s="287" t="s">
        <v>713</v>
      </c>
      <c r="Z3" t="str">
        <f>IFERROR(VLOOKUP(ROWS($Z$3:Z3),$X$3:$Y$718,2,0),"")</f>
        <v>Rostlinná a živočišná výroba, myslivost a související činnosti</v>
      </c>
    </row>
    <row r="4" spans="1:26" ht="12.75" customHeight="1">
      <c r="A4" s="263"/>
      <c r="B4" s="289" t="s">
        <v>714</v>
      </c>
      <c r="C4" s="290">
        <v>452</v>
      </c>
      <c r="D4" s="279">
        <f>IF(ISNUMBER(SEARCH(ZAKL_DATA!$B$14,E4)),MAX($D$2:D3)+1,0)</f>
        <v>2</v>
      </c>
      <c r="E4" s="291" t="s">
        <v>715</v>
      </c>
      <c r="F4" s="292">
        <v>2002</v>
      </c>
      <c r="G4" s="293"/>
      <c r="H4" s="294" t="str">
        <f>IFERROR(VLOOKUP(ROWS($H$3:H4),$D$3:$E$204,2,0),"")</f>
        <v>PRAHA 2</v>
      </c>
      <c r="I4" s="263"/>
      <c r="J4" s="295" t="s">
        <v>716</v>
      </c>
      <c r="K4" s="285" t="s">
        <v>717</v>
      </c>
      <c r="M4" s="286">
        <f>IF(ISNUMBER(SEARCH(ZAKL_DATA!$B$29,N4)),MAX($M$2:M3)+1,0)</f>
        <v>2</v>
      </c>
      <c r="N4" s="791" t="s">
        <v>3136</v>
      </c>
      <c r="O4" s="791" t="s">
        <v>3137</v>
      </c>
      <c r="Q4" s="288" t="str">
        <f>IFERROR(VLOOKUP(ROWS($Q$3:Q4),$M$3:$N$718,2,0),"")</f>
        <v>Ambulantní nebo terénní sociální služby pro seniory nebo osoby se zdravotním postižením</v>
      </c>
      <c r="R4">
        <f>IF(ISNUMBER(SEARCH('1Př1'!$A$32,N4)),MAX($M$2:M3)+1,0)</f>
        <v>2</v>
      </c>
      <c r="S4" s="287" t="s">
        <v>718</v>
      </c>
      <c r="T4" t="str">
        <f>IFERROR(VLOOKUP(ROWS($T$3:T4),$R$3:$S$718,2,0),"")</f>
        <v>Lesnictví a těžba dřeva</v>
      </c>
      <c r="U4">
        <f>IF(ISNUMBER(SEARCH('1Př1'!$A$33,N4)),MAX($M$2:M3)+1,0)</f>
        <v>2</v>
      </c>
      <c r="V4" s="287" t="s">
        <v>718</v>
      </c>
      <c r="W4" t="str">
        <f>IFERROR(VLOOKUP(ROWS($W$3:W4),$U$3:$V$718,2,0),"")</f>
        <v>Lesnictví a těžba dřeva</v>
      </c>
      <c r="X4">
        <f>IF(ISNUMBER(SEARCH('1Př1'!$A$34,N4)),MAX($M$2:M3)+1,0)</f>
        <v>2</v>
      </c>
      <c r="Y4" s="287" t="s">
        <v>718</v>
      </c>
      <c r="Z4" t="str">
        <f>IFERROR(VLOOKUP(ROWS($Z$3:Z4),$X$3:$Y$718,2,0),"")</f>
        <v>Lesnictví a těžba dřeva</v>
      </c>
    </row>
    <row r="5" spans="1:26" ht="12.75" customHeight="1">
      <c r="A5" s="263"/>
      <c r="B5" s="289" t="s">
        <v>719</v>
      </c>
      <c r="C5" s="290">
        <v>453</v>
      </c>
      <c r="D5" s="279">
        <f>IF(ISNUMBER(SEARCH(ZAKL_DATA!$B$14,E5)),MAX($D$2:D4)+1,0)</f>
        <v>3</v>
      </c>
      <c r="E5" s="291" t="s">
        <v>720</v>
      </c>
      <c r="F5" s="292">
        <v>2003</v>
      </c>
      <c r="G5" s="293"/>
      <c r="H5" s="294" t="str">
        <f>IFERROR(VLOOKUP(ROWS($H$3:H5),$D$3:$E$204,2,0),"")</f>
        <v>PRAHA 3</v>
      </c>
      <c r="I5" s="263"/>
      <c r="J5" s="295" t="s">
        <v>721</v>
      </c>
      <c r="K5" s="285" t="s">
        <v>722</v>
      </c>
      <c r="M5" s="286">
        <f>IF(ISNUMBER(SEARCH(ZAKL_DATA!$B$29,N5)),MAX($M$2:M4)+1,0)</f>
        <v>3</v>
      </c>
      <c r="N5" s="791" t="s">
        <v>2150</v>
      </c>
      <c r="O5" s="791" t="s">
        <v>3138</v>
      </c>
      <c r="Q5" s="288" t="str">
        <f>IFERROR(VLOOKUP(ROWS($Q$3:Q5),$M$3:$N$718,2,0),"")</f>
        <v>Architektonické činnosti</v>
      </c>
      <c r="R5">
        <f>IF(ISNUMBER(SEARCH('1Př1'!$A$32,N5)),MAX($M$2:M4)+1,0)</f>
        <v>3</v>
      </c>
      <c r="S5" s="287" t="s">
        <v>723</v>
      </c>
      <c r="T5" t="str">
        <f>IFERROR(VLOOKUP(ROWS($T$3:T5),$R$3:$S$718,2,0),"")</f>
        <v>Rybolov a akvakultura</v>
      </c>
      <c r="U5">
        <f>IF(ISNUMBER(SEARCH('1Př1'!$A$33,N5)),MAX($M$2:M4)+1,0)</f>
        <v>3</v>
      </c>
      <c r="V5" s="287" t="s">
        <v>723</v>
      </c>
      <c r="W5" t="str">
        <f>IFERROR(VLOOKUP(ROWS($W$3:W5),$U$3:$V$718,2,0),"")</f>
        <v>Rybolov a akvakultura</v>
      </c>
      <c r="X5">
        <f>IF(ISNUMBER(SEARCH('1Př1'!$A$34,N5)),MAX($M$2:M4)+1,0)</f>
        <v>3</v>
      </c>
      <c r="Y5" s="287" t="s">
        <v>723</v>
      </c>
      <c r="Z5" t="str">
        <f>IFERROR(VLOOKUP(ROWS($Z$3:Z5),$X$3:$Y$718,2,0),"")</f>
        <v>Rybolov a akvakultura</v>
      </c>
    </row>
    <row r="6" spans="1:26" ht="12.75" customHeight="1">
      <c r="A6" s="263"/>
      <c r="B6" s="289" t="s">
        <v>724</v>
      </c>
      <c r="C6" s="290">
        <v>454</v>
      </c>
      <c r="D6" s="279">
        <f>IF(ISNUMBER(SEARCH(ZAKL_DATA!$B$14,E6)),MAX($D$2:D5)+1,0)</f>
        <v>4</v>
      </c>
      <c r="E6" s="291" t="s">
        <v>725</v>
      </c>
      <c r="F6" s="292">
        <v>2004</v>
      </c>
      <c r="G6" s="293"/>
      <c r="H6" s="294" t="str">
        <f>IFERROR(VLOOKUP(ROWS($H$3:H6),$D$3:$E$204,2,0),"")</f>
        <v>PRAHA 4</v>
      </c>
      <c r="I6" s="263"/>
      <c r="J6" s="296" t="s">
        <v>726</v>
      </c>
      <c r="K6" s="285" t="s">
        <v>727</v>
      </c>
      <c r="M6" s="286">
        <f>IF(ISNUMBER(SEARCH(ZAKL_DATA!$B$29,N6)),MAX($M$2:M5)+1,0)</f>
        <v>4</v>
      </c>
      <c r="N6" s="791" t="s">
        <v>2169</v>
      </c>
      <c r="O6" s="791" t="s">
        <v>3139</v>
      </c>
      <c r="Q6" s="288" t="str">
        <f>IFERROR(VLOOKUP(ROWS($Q$3:Q6),$M$3:$N$718,2,0),"")</f>
        <v>Balicí činnosti</v>
      </c>
      <c r="R6">
        <f>IF(ISNUMBER(SEARCH('1Př1'!$A$32,N6)),MAX($M$2:M5)+1,0)</f>
        <v>4</v>
      </c>
      <c r="S6" s="287" t="s">
        <v>728</v>
      </c>
      <c r="T6" t="str">
        <f>IFERROR(VLOOKUP(ROWS($T$3:T6),$R$3:$S$718,2,0),"")</f>
        <v>Těžba a úprava černého a hnědého uhlí</v>
      </c>
      <c r="U6">
        <f>IF(ISNUMBER(SEARCH('1Př1'!$A$33,N6)),MAX($M$2:M5)+1,0)</f>
        <v>4</v>
      </c>
      <c r="V6" s="287" t="s">
        <v>728</v>
      </c>
      <c r="W6" t="str">
        <f>IFERROR(VLOOKUP(ROWS($W$3:W6),$U$3:$V$718,2,0),"")</f>
        <v>Těžba a úprava černého a hnědého uhlí</v>
      </c>
      <c r="X6">
        <f>IF(ISNUMBER(SEARCH('1Př1'!$A$34,N6)),MAX($M$2:M5)+1,0)</f>
        <v>4</v>
      </c>
      <c r="Y6" s="287" t="s">
        <v>728</v>
      </c>
      <c r="Z6" t="str">
        <f>IFERROR(VLOOKUP(ROWS($Z$3:Z6),$X$3:$Y$718,2,0),"")</f>
        <v>Těžba a úprava černého a hnědého uhlí</v>
      </c>
    </row>
    <row r="7" spans="1:26" ht="12.75" customHeight="1">
      <c r="A7" s="263"/>
      <c r="B7" s="289" t="s">
        <v>729</v>
      </c>
      <c r="C7" s="290">
        <v>455</v>
      </c>
      <c r="D7" s="279">
        <f>IF(ISNUMBER(SEARCH(ZAKL_DATA!$B$14,E7)),MAX($D$2:D6)+1,0)</f>
        <v>5</v>
      </c>
      <c r="E7" s="291" t="s">
        <v>730</v>
      </c>
      <c r="F7" s="292">
        <v>2005</v>
      </c>
      <c r="G7" s="293"/>
      <c r="H7" s="294" t="str">
        <f>IFERROR(VLOOKUP(ROWS($H$3:H7),$D$3:$E$204,2,0),"")</f>
        <v>PRAHA 5</v>
      </c>
      <c r="I7" s="263"/>
      <c r="J7" s="296" t="s">
        <v>731</v>
      </c>
      <c r="K7" s="285" t="s">
        <v>732</v>
      </c>
      <c r="M7" s="286">
        <f>IF(ISNUMBER(SEARCH(ZAKL_DATA!$B$29,N7)),MAX($M$2:M6)+1,0)</f>
        <v>5</v>
      </c>
      <c r="N7" s="791" t="s">
        <v>3140</v>
      </c>
      <c r="O7" s="791" t="s">
        <v>3141</v>
      </c>
      <c r="Q7" s="288" t="str">
        <f>IFERROR(VLOOKUP(ROWS($Q$3:Q7),$M$3:$N$718,2,0),"")</f>
        <v>Bezpečnostní činnosti j. n.</v>
      </c>
      <c r="R7">
        <f>IF(ISNUMBER(SEARCH('1Př1'!$A$32,N7)),MAX($M$2:M6)+1,0)</f>
        <v>5</v>
      </c>
      <c r="S7" s="287" t="s">
        <v>733</v>
      </c>
      <c r="T7" t="str">
        <f>IFERROR(VLOOKUP(ROWS($T$3:T7),$R$3:$S$718,2,0),"")</f>
        <v>Těžba ropy a zemního plynu</v>
      </c>
      <c r="U7">
        <f>IF(ISNUMBER(SEARCH('1Př1'!$A$33,N7)),MAX($M$2:M6)+1,0)</f>
        <v>5</v>
      </c>
      <c r="V7" s="287" t="s">
        <v>733</v>
      </c>
      <c r="W7" t="str">
        <f>IFERROR(VLOOKUP(ROWS($W$3:W7),$U$3:$V$718,2,0),"")</f>
        <v>Těžba ropy a zemního plynu</v>
      </c>
      <c r="X7">
        <f>IF(ISNUMBER(SEARCH('1Př1'!$A$34,N7)),MAX($M$2:M6)+1,0)</f>
        <v>5</v>
      </c>
      <c r="Y7" s="287" t="s">
        <v>733</v>
      </c>
      <c r="Z7" t="str">
        <f>IFERROR(VLOOKUP(ROWS($Z$3:Z7),$X$3:$Y$718,2,0),"")</f>
        <v>Těžba ropy a zemního plynu</v>
      </c>
    </row>
    <row r="8" spans="1:26" ht="12.75" customHeight="1">
      <c r="A8" s="263"/>
      <c r="B8" s="289" t="s">
        <v>734</v>
      </c>
      <c r="C8" s="290">
        <v>456</v>
      </c>
      <c r="D8" s="279">
        <f>IF(ISNUMBER(SEARCH(ZAKL_DATA!$B$14,E8)),MAX($D$2:D7)+1,0)</f>
        <v>6</v>
      </c>
      <c r="E8" s="291" t="s">
        <v>735</v>
      </c>
      <c r="F8" s="292">
        <v>2006</v>
      </c>
      <c r="G8" s="293"/>
      <c r="H8" s="294" t="str">
        <f>IFERROR(VLOOKUP(ROWS($H$3:H8),$D$3:$E$204,2,0),"")</f>
        <v>PRAHA 6</v>
      </c>
      <c r="I8" s="263"/>
      <c r="J8" s="296" t="s">
        <v>736</v>
      </c>
      <c r="K8" s="285" t="s">
        <v>737</v>
      </c>
      <c r="M8" s="286">
        <f>IF(ISNUMBER(SEARCH(ZAKL_DATA!$B$29,N8)),MAX($M$2:M7)+1,0)</f>
        <v>6</v>
      </c>
      <c r="N8" s="791" t="s">
        <v>3142</v>
      </c>
      <c r="O8" s="791" t="s">
        <v>3143</v>
      </c>
      <c r="Q8" s="288" t="str">
        <f>IFERROR(VLOOKUP(ROWS($Q$3:Q8),$M$3:$N$718,2,0),"")</f>
        <v>Cateringové činnosti</v>
      </c>
      <c r="R8">
        <f>IF(ISNUMBER(SEARCH('1Př1'!$A$32,N8)),MAX($M$2:M7)+1,0)</f>
        <v>6</v>
      </c>
      <c r="S8" s="287" t="s">
        <v>738</v>
      </c>
      <c r="T8" t="str">
        <f>IFERROR(VLOOKUP(ROWS($T$3:T8),$R$3:$S$718,2,0),"")</f>
        <v>Těžba a úprava rud</v>
      </c>
      <c r="U8">
        <f>IF(ISNUMBER(SEARCH('1Př1'!$A$33,N8)),MAX($M$2:M7)+1,0)</f>
        <v>6</v>
      </c>
      <c r="V8" s="287" t="s">
        <v>738</v>
      </c>
      <c r="W8" t="str">
        <f>IFERROR(VLOOKUP(ROWS($W$3:W8),$U$3:$V$718,2,0),"")</f>
        <v>Těžba a úprava rud</v>
      </c>
      <c r="X8">
        <f>IF(ISNUMBER(SEARCH('1Př1'!$A$34,N8)),MAX($M$2:M7)+1,0)</f>
        <v>6</v>
      </c>
      <c r="Y8" s="287" t="s">
        <v>738</v>
      </c>
      <c r="Z8" t="str">
        <f>IFERROR(VLOOKUP(ROWS($Z$3:Z8),$X$3:$Y$718,2,0),"")</f>
        <v>Těžba a úprava rud</v>
      </c>
    </row>
    <row r="9" spans="1:26" ht="12.75" customHeight="1">
      <c r="A9" s="263"/>
      <c r="B9" s="289" t="s">
        <v>739</v>
      </c>
      <c r="C9" s="290">
        <v>457</v>
      </c>
      <c r="D9" s="279">
        <f>IF(ISNUMBER(SEARCH(ZAKL_DATA!$B$14,E9)),MAX($D$2:D8)+1,0)</f>
        <v>7</v>
      </c>
      <c r="E9" s="291" t="s">
        <v>740</v>
      </c>
      <c r="F9" s="292">
        <v>2007</v>
      </c>
      <c r="G9" s="293"/>
      <c r="H9" s="294" t="str">
        <f>IFERROR(VLOOKUP(ROWS($H$3:H9),$D$3:$E$204,2,0),"")</f>
        <v>PRAHA 7</v>
      </c>
      <c r="I9" s="263"/>
      <c r="J9" s="296" t="s">
        <v>741</v>
      </c>
      <c r="K9" s="285" t="s">
        <v>742</v>
      </c>
      <c r="M9" s="286">
        <f>IF(ISNUMBER(SEARCH(ZAKL_DATA!$B$29,N9)),MAX($M$2:M8)+1,0)</f>
        <v>7</v>
      </c>
      <c r="N9" s="791" t="s">
        <v>2143</v>
      </c>
      <c r="O9" s="791" t="s">
        <v>3144</v>
      </c>
      <c r="Q9" s="288" t="str">
        <f>IFERROR(VLOOKUP(ROWS($Q$3:Q9),$M$3:$N$718,2,0),"")</f>
        <v>Centrální bankovnictví</v>
      </c>
      <c r="R9">
        <f>IF(ISNUMBER(SEARCH('1Př1'!$A$32,N9)),MAX($M$2:M8)+1,0)</f>
        <v>7</v>
      </c>
      <c r="S9" s="287" t="s">
        <v>743</v>
      </c>
      <c r="T9" t="str">
        <f>IFERROR(VLOOKUP(ROWS($T$3:T9),$R$3:$S$718,2,0),"")</f>
        <v>Ostatní těžba a dobývání</v>
      </c>
      <c r="U9">
        <f>IF(ISNUMBER(SEARCH('1Př1'!$A$33,N9)),MAX($M$2:M8)+1,0)</f>
        <v>7</v>
      </c>
      <c r="V9" s="287" t="s">
        <v>743</v>
      </c>
      <c r="W9" t="str">
        <f>IFERROR(VLOOKUP(ROWS($W$3:W9),$U$3:$V$718,2,0),"")</f>
        <v>Ostatní těžba a dobývání</v>
      </c>
      <c r="X9">
        <f>IF(ISNUMBER(SEARCH('1Př1'!$A$34,N9)),MAX($M$2:M8)+1,0)</f>
        <v>7</v>
      </c>
      <c r="Y9" s="287" t="s">
        <v>743</v>
      </c>
      <c r="Z9" t="str">
        <f>IFERROR(VLOOKUP(ROWS($Z$3:Z9),$X$3:$Y$718,2,0),"")</f>
        <v>Ostatní těžba a dobývání</v>
      </c>
    </row>
    <row r="10" spans="1:26" ht="12.75" customHeight="1">
      <c r="A10" s="263"/>
      <c r="B10" s="289" t="s">
        <v>744</v>
      </c>
      <c r="C10" s="290">
        <v>458</v>
      </c>
      <c r="D10" s="279">
        <f>IF(ISNUMBER(SEARCH(ZAKL_DATA!$B$14,E10)),MAX($D$2:D9)+1,0)</f>
        <v>8</v>
      </c>
      <c r="E10" s="291" t="s">
        <v>745</v>
      </c>
      <c r="F10" s="292">
        <v>2008</v>
      </c>
      <c r="G10" s="293"/>
      <c r="H10" s="294" t="str">
        <f>IFERROR(VLOOKUP(ROWS($H$3:H10),$D$3:$E$204,2,0),"")</f>
        <v>PRAHA 8</v>
      </c>
      <c r="I10" s="263"/>
      <c r="J10" s="296" t="s">
        <v>746</v>
      </c>
      <c r="K10" s="285" t="s">
        <v>747</v>
      </c>
      <c r="M10" s="286">
        <f>IF(ISNUMBER(SEARCH(ZAKL_DATA!$B$29,N10)),MAX($M$2:M9)+1,0)</f>
        <v>8</v>
      </c>
      <c r="N10" s="791" t="s">
        <v>3145</v>
      </c>
      <c r="O10" s="791" t="s">
        <v>3146</v>
      </c>
      <c r="Q10" s="288" t="str">
        <f>IFERROR(VLOOKUP(ROWS($Q$3:Q10),$M$3:$N$718,2,0),"")</f>
        <v>Činění, úprava, barvení usní a kožešin</v>
      </c>
      <c r="R10">
        <f>IF(ISNUMBER(SEARCH('1Př1'!$A$32,N10)),MAX($M$2:M9)+1,0)</f>
        <v>8</v>
      </c>
      <c r="S10" s="287" t="s">
        <v>748</v>
      </c>
      <c r="T10" t="str">
        <f>IFERROR(VLOOKUP(ROWS($T$3:T10),$R$3:$S$718,2,0),"")</f>
        <v>Podpůrné činnosti při těžbě</v>
      </c>
      <c r="U10">
        <f>IF(ISNUMBER(SEARCH('1Př1'!$A$33,N10)),MAX($M$2:M9)+1,0)</f>
        <v>8</v>
      </c>
      <c r="V10" s="287" t="s">
        <v>748</v>
      </c>
      <c r="W10" t="str">
        <f>IFERROR(VLOOKUP(ROWS($W$3:W10),$U$3:$V$718,2,0),"")</f>
        <v>Podpůrné činnosti při těžbě</v>
      </c>
      <c r="X10">
        <f>IF(ISNUMBER(SEARCH('1Př1'!$A$34,N10)),MAX($M$2:M9)+1,0)</f>
        <v>8</v>
      </c>
      <c r="Y10" s="287" t="s">
        <v>748</v>
      </c>
      <c r="Z10" t="str">
        <f>IFERROR(VLOOKUP(ROWS($Z$3:Z10),$X$3:$Y$718,2,0),"")</f>
        <v>Podpůrné činnosti při těžbě</v>
      </c>
    </row>
    <row r="11" spans="1:26" ht="12.75" customHeight="1">
      <c r="A11" s="263"/>
      <c r="B11" s="289" t="s">
        <v>749</v>
      </c>
      <c r="C11" s="290">
        <v>459</v>
      </c>
      <c r="D11" s="279">
        <f>IF(ISNUMBER(SEARCH(ZAKL_DATA!$B$14,E11)),MAX($D$2:D10)+1,0)</f>
        <v>9</v>
      </c>
      <c r="E11" s="291" t="s">
        <v>750</v>
      </c>
      <c r="F11" s="292">
        <v>2009</v>
      </c>
      <c r="G11" s="293"/>
      <c r="H11" s="294" t="str">
        <f>IFERROR(VLOOKUP(ROWS($H$3:H11),$D$3:$E$204,2,0),"")</f>
        <v>PRAHA 9</v>
      </c>
      <c r="I11" s="263"/>
      <c r="J11" s="296" t="s">
        <v>751</v>
      </c>
      <c r="K11" s="285" t="s">
        <v>752</v>
      </c>
      <c r="M11" s="286">
        <f>IF(ISNUMBER(SEARCH(ZAKL_DATA!$B$29,N11)),MAX($M$2:M10)+1,0)</f>
        <v>9</v>
      </c>
      <c r="N11" s="791" t="s">
        <v>3147</v>
      </c>
      <c r="O11" s="791" t="s">
        <v>3148</v>
      </c>
      <c r="Q11" s="288" t="str">
        <f>IFERROR(VLOOKUP(ROWS($Q$3:Q11),$M$3:$N$718,2,0),"")</f>
        <v>Činnosti agentur zprostředkujících práci na přechodnou dobu a ostatní poskytování lidských zdrojů</v>
      </c>
      <c r="R11">
        <f>IF(ISNUMBER(SEARCH('1Př1'!$A$32,N11)),MAX($M$2:M10)+1,0)</f>
        <v>9</v>
      </c>
      <c r="S11" s="287" t="s">
        <v>753</v>
      </c>
      <c r="T11" t="str">
        <f>IFERROR(VLOOKUP(ROWS($T$3:T11),$R$3:$S$718,2,0),"")</f>
        <v>Výroba potravinářských výrobků</v>
      </c>
      <c r="U11">
        <f>IF(ISNUMBER(SEARCH('1Př1'!$A$33,N11)),MAX($M$2:M10)+1,0)</f>
        <v>9</v>
      </c>
      <c r="V11" s="287" t="s">
        <v>753</v>
      </c>
      <c r="W11" t="str">
        <f>IFERROR(VLOOKUP(ROWS($W$3:W11),$U$3:$V$718,2,0),"")</f>
        <v>Výroba potravinářských výrobků</v>
      </c>
      <c r="X11">
        <f>IF(ISNUMBER(SEARCH('1Př1'!$A$34,N11)),MAX($M$2:M10)+1,0)</f>
        <v>9</v>
      </c>
      <c r="Y11" s="287" t="s">
        <v>753</v>
      </c>
      <c r="Z11" t="str">
        <f>IFERROR(VLOOKUP(ROWS($Z$3:Z11),$X$3:$Y$718,2,0),"")</f>
        <v>Výroba potravinářských výrobků</v>
      </c>
    </row>
    <row r="12" spans="1:26" ht="12.75" customHeight="1">
      <c r="A12" s="263"/>
      <c r="B12" s="289" t="s">
        <v>754</v>
      </c>
      <c r="C12" s="264">
        <v>460</v>
      </c>
      <c r="D12" s="279">
        <f>IF(ISNUMBER(SEARCH(ZAKL_DATA!$B$14,E12)),MAX($D$2:D11)+1,0)</f>
        <v>10</v>
      </c>
      <c r="E12" s="291" t="s">
        <v>755</v>
      </c>
      <c r="F12" s="292">
        <v>2010</v>
      </c>
      <c r="G12" s="293"/>
      <c r="H12" s="294" t="str">
        <f>IFERROR(VLOOKUP(ROWS($H$3:H12),$D$3:$E$204,2,0),"")</f>
        <v>PRAHA 10</v>
      </c>
      <c r="I12" s="263"/>
      <c r="J12" s="296" t="s">
        <v>756</v>
      </c>
      <c r="K12" s="285" t="s">
        <v>757</v>
      </c>
      <c r="M12" s="286">
        <f>IF(ISNUMBER(SEARCH(ZAKL_DATA!$B$29,N12)),MAX($M$2:M11)+1,0)</f>
        <v>10</v>
      </c>
      <c r="N12" s="791" t="s">
        <v>1762</v>
      </c>
      <c r="O12" s="791" t="s">
        <v>3149</v>
      </c>
      <c r="Q12" s="288" t="str">
        <f>IFERROR(VLOOKUP(ROWS($Q$3:Q12),$M$3:$N$718,2,0),"")</f>
        <v>Činnosti agentur zprostředkujících zaměstnání</v>
      </c>
      <c r="R12">
        <f>IF(ISNUMBER(SEARCH('1Př1'!$A$32,N12)),MAX($M$2:M11)+1,0)</f>
        <v>10</v>
      </c>
      <c r="S12" s="287" t="s">
        <v>758</v>
      </c>
      <c r="T12" t="str">
        <f>IFERROR(VLOOKUP(ROWS($T$3:T12),$R$3:$S$718,2,0),"")</f>
        <v>Výroba nápojů</v>
      </c>
      <c r="U12">
        <f>IF(ISNUMBER(SEARCH('1Př1'!$A$33,N12)),MAX($M$2:M11)+1,0)</f>
        <v>10</v>
      </c>
      <c r="V12" s="287" t="s">
        <v>758</v>
      </c>
      <c r="W12" t="str">
        <f>IFERROR(VLOOKUP(ROWS($W$3:W12),$U$3:$V$718,2,0),"")</f>
        <v>Výroba nápojů</v>
      </c>
      <c r="X12">
        <f>IF(ISNUMBER(SEARCH('1Př1'!$A$34,N12)),MAX($M$2:M11)+1,0)</f>
        <v>10</v>
      </c>
      <c r="Y12" s="287" t="s">
        <v>758</v>
      </c>
      <c r="Z12" t="str">
        <f>IFERROR(VLOOKUP(ROWS($Z$3:Z12),$X$3:$Y$718,2,0),"")</f>
        <v>Výroba nápojů</v>
      </c>
    </row>
    <row r="13" spans="1:26" ht="12.75" customHeight="1">
      <c r="A13" s="263"/>
      <c r="B13" s="289" t="s">
        <v>759</v>
      </c>
      <c r="C13" s="290">
        <v>461</v>
      </c>
      <c r="D13" s="279">
        <f>IF(ISNUMBER(SEARCH(ZAKL_DATA!$B$14,E13)),MAX($D$2:D12)+1,0)</f>
        <v>11</v>
      </c>
      <c r="E13" s="291" t="s">
        <v>760</v>
      </c>
      <c r="F13" s="292">
        <v>2011</v>
      </c>
      <c r="G13" s="293"/>
      <c r="H13" s="294" t="str">
        <f>IFERROR(VLOOKUP(ROWS($H$3:H13),$D$3:$E$204,2,0),"")</f>
        <v>PRAHA-JIŽNÍ MĚSTO</v>
      </c>
      <c r="I13" s="263"/>
      <c r="J13" s="296" t="s">
        <v>761</v>
      </c>
      <c r="K13" s="285" t="s">
        <v>762</v>
      </c>
      <c r="M13" s="286">
        <f>IF(ISNUMBER(SEARCH(ZAKL_DATA!$B$29,N13)),MAX($M$2:M12)+1,0)</f>
        <v>11</v>
      </c>
      <c r="N13" s="791" t="s">
        <v>3150</v>
      </c>
      <c r="O13" s="791" t="s">
        <v>3151</v>
      </c>
      <c r="Q13" s="288" t="str">
        <f>IFERROR(VLOOKUP(ROWS($Q$3:Q13),$M$3:$N$718,2,0),"")</f>
        <v>Činnosti archivů</v>
      </c>
      <c r="R13">
        <f>IF(ISNUMBER(SEARCH('1Př1'!$A$32,N13)),MAX($M$2:M12)+1,0)</f>
        <v>11</v>
      </c>
      <c r="S13" s="287" t="s">
        <v>763</v>
      </c>
      <c r="T13" t="str">
        <f>IFERROR(VLOOKUP(ROWS($T$3:T13),$R$3:$S$718,2,0),"")</f>
        <v>Pěstování plodin jiných než trvalých</v>
      </c>
      <c r="U13">
        <f>IF(ISNUMBER(SEARCH('1Př1'!$A$33,N13)),MAX($M$2:M12)+1,0)</f>
        <v>11</v>
      </c>
      <c r="V13" s="287" t="s">
        <v>763</v>
      </c>
      <c r="W13" t="str">
        <f>IFERROR(VLOOKUP(ROWS($W$3:W13),$U$3:$V$718,2,0),"")</f>
        <v>Pěstování plodin jiných než trvalých</v>
      </c>
      <c r="X13">
        <f>IF(ISNUMBER(SEARCH('1Př1'!$A$34,N13)),MAX($M$2:M12)+1,0)</f>
        <v>11</v>
      </c>
      <c r="Y13" s="287" t="s">
        <v>763</v>
      </c>
      <c r="Z13" t="str">
        <f>IFERROR(VLOOKUP(ROWS($Z$3:Z13),$X$3:$Y$718,2,0),"")</f>
        <v>Pěstování plodin jiných než trvalých</v>
      </c>
    </row>
    <row r="14" spans="1:26" ht="12.75" customHeight="1">
      <c r="A14" s="263"/>
      <c r="B14" s="289" t="s">
        <v>764</v>
      </c>
      <c r="C14" s="290">
        <v>462</v>
      </c>
      <c r="D14" s="279">
        <f>IF(ISNUMBER(SEARCH(ZAKL_DATA!$B$14,E14)),MAX($D$2:D13)+1,0)</f>
        <v>12</v>
      </c>
      <c r="E14" s="291" t="s">
        <v>765</v>
      </c>
      <c r="F14" s="292">
        <v>2012</v>
      </c>
      <c r="G14" s="293"/>
      <c r="H14" s="294" t="str">
        <f>IFERROR(VLOOKUP(ROWS($H$3:H14),$D$3:$E$204,2,0),"")</f>
        <v>PRAHA-MODŘANY</v>
      </c>
      <c r="I14" s="263"/>
      <c r="J14" s="296" t="s">
        <v>766</v>
      </c>
      <c r="K14" s="285" t="s">
        <v>767</v>
      </c>
      <c r="M14" s="286">
        <f>IF(ISNUMBER(SEARCH(ZAKL_DATA!$B$29,N14)),MAX($M$2:M13)+1,0)</f>
        <v>12</v>
      </c>
      <c r="N14" s="791" t="s">
        <v>2201</v>
      </c>
      <c r="O14" s="791" t="s">
        <v>3152</v>
      </c>
      <c r="Q14" s="288" t="str">
        <f>IFERROR(VLOOKUP(ROWS($Q$3:Q14),$M$3:$N$718,2,0),"")</f>
        <v>Činnosti autoškol</v>
      </c>
      <c r="R14">
        <f>IF(ISNUMBER(SEARCH('1Př1'!$A$32,N14)),MAX($M$2:M13)+1,0)</f>
        <v>12</v>
      </c>
      <c r="S14" s="287" t="s">
        <v>768</v>
      </c>
      <c r="T14" t="str">
        <f>IFERROR(VLOOKUP(ROWS($T$3:T14),$R$3:$S$718,2,0),"")</f>
        <v>Výroba tabákových výrobků</v>
      </c>
      <c r="U14">
        <f>IF(ISNUMBER(SEARCH('1Př1'!$A$33,N14)),MAX($M$2:M13)+1,0)</f>
        <v>12</v>
      </c>
      <c r="V14" s="287" t="s">
        <v>768</v>
      </c>
      <c r="W14" t="str">
        <f>IFERROR(VLOOKUP(ROWS($W$3:W14),$U$3:$V$718,2,0),"")</f>
        <v>Výroba tabákových výrobků</v>
      </c>
      <c r="X14">
        <f>IF(ISNUMBER(SEARCH('1Př1'!$A$34,N14)),MAX($M$2:M13)+1,0)</f>
        <v>12</v>
      </c>
      <c r="Y14" s="287" t="s">
        <v>768</v>
      </c>
      <c r="Z14" t="str">
        <f>IFERROR(VLOOKUP(ROWS($Z$3:Z14),$X$3:$Y$718,2,0),"")</f>
        <v>Výroba tabákových výrobků</v>
      </c>
    </row>
    <row r="15" spans="1:26" ht="12.75" customHeight="1">
      <c r="A15" s="263"/>
      <c r="B15" s="289" t="s">
        <v>769</v>
      </c>
      <c r="C15" s="290">
        <v>463</v>
      </c>
      <c r="D15" s="279">
        <f>IF(ISNUMBER(SEARCH(ZAKL_DATA!$B$14,E15)),MAX($D$2:D14)+1,0)</f>
        <v>13</v>
      </c>
      <c r="E15" s="291" t="s">
        <v>770</v>
      </c>
      <c r="F15" s="292">
        <v>2101</v>
      </c>
      <c r="G15" s="293"/>
      <c r="H15" s="294" t="str">
        <f>IFERROR(VLOOKUP(ROWS($H$3:H15),$D$3:$E$204,2,0),"")</f>
        <v>PRAHA - VÝCHOD</v>
      </c>
      <c r="I15" s="263"/>
      <c r="J15" s="296" t="s">
        <v>771</v>
      </c>
      <c r="K15" s="285" t="s">
        <v>772</v>
      </c>
      <c r="M15" s="286">
        <f>IF(ISNUMBER(SEARCH(ZAKL_DATA!$B$29,N15)),MAX($M$2:M14)+1,0)</f>
        <v>13</v>
      </c>
      <c r="N15" s="791" t="s">
        <v>2205</v>
      </c>
      <c r="O15" s="791" t="s">
        <v>3153</v>
      </c>
      <c r="Q15" s="288" t="str">
        <f>IFERROR(VLOOKUP(ROWS($Q$3:Q15),$M$3:$N$718,2,0),"")</f>
        <v>Činnosti botanických a zoologických zahrad</v>
      </c>
      <c r="R15">
        <f>IF(ISNUMBER(SEARCH('1Př1'!$A$32,N15)),MAX($M$2:M14)+1,0)</f>
        <v>13</v>
      </c>
      <c r="S15" s="287" t="s">
        <v>773</v>
      </c>
      <c r="T15" t="str">
        <f>IFERROR(VLOOKUP(ROWS($T$3:T15),$R$3:$S$718,2,0),"")</f>
        <v>Pěstování trvalých plodin</v>
      </c>
      <c r="U15">
        <f>IF(ISNUMBER(SEARCH('1Př1'!$A$33,N15)),MAX($M$2:M14)+1,0)</f>
        <v>13</v>
      </c>
      <c r="V15" s="287" t="s">
        <v>773</v>
      </c>
      <c r="W15" t="str">
        <f>IFERROR(VLOOKUP(ROWS($W$3:W15),$U$3:$V$718,2,0),"")</f>
        <v>Pěstování trvalých plodin</v>
      </c>
      <c r="X15">
        <f>IF(ISNUMBER(SEARCH('1Př1'!$A$34,N15)),MAX($M$2:M14)+1,0)</f>
        <v>13</v>
      </c>
      <c r="Y15" s="287" t="s">
        <v>773</v>
      </c>
      <c r="Z15" t="str">
        <f>IFERROR(VLOOKUP(ROWS($Z$3:Z15),$X$3:$Y$718,2,0),"")</f>
        <v>Pěstování trvalých plodin</v>
      </c>
    </row>
    <row r="16" spans="1:26" ht="12.75" customHeight="1">
      <c r="A16" s="263"/>
      <c r="B16" s="289" t="s">
        <v>774</v>
      </c>
      <c r="C16" s="290">
        <v>464</v>
      </c>
      <c r="D16" s="279">
        <f>IF(ISNUMBER(SEARCH(ZAKL_DATA!$B$14,E16)),MAX($D$2:D15)+1,0)</f>
        <v>14</v>
      </c>
      <c r="E16" s="291" t="s">
        <v>775</v>
      </c>
      <c r="F16" s="292">
        <v>2102</v>
      </c>
      <c r="G16" s="293"/>
      <c r="H16" s="294" t="str">
        <f>IFERROR(VLOOKUP(ROWS($H$3:H16),$D$3:$E$204,2,0),"")</f>
        <v>PRAHA ZÁPAD</v>
      </c>
      <c r="I16" s="263"/>
      <c r="J16" s="296" t="s">
        <v>776</v>
      </c>
      <c r="K16" s="285" t="s">
        <v>777</v>
      </c>
      <c r="M16" s="286">
        <f>IF(ISNUMBER(SEARCH(ZAKL_DATA!$B$29,N16)),MAX($M$2:M15)+1,0)</f>
        <v>14</v>
      </c>
      <c r="N16" s="791" t="s">
        <v>3154</v>
      </c>
      <c r="O16" s="791" t="s">
        <v>3155</v>
      </c>
      <c r="Q16" s="288" t="str">
        <f>IFERROR(VLOOKUP(ROWS($Q$3:Q16),$M$3:$N$718,2,0),"")</f>
        <v>Činnosti call center</v>
      </c>
      <c r="R16">
        <f>IF(ISNUMBER(SEARCH('1Př1'!$A$32,N16)),MAX($M$2:M15)+1,0)</f>
        <v>14</v>
      </c>
      <c r="S16" s="287" t="s">
        <v>778</v>
      </c>
      <c r="T16" t="str">
        <f>IFERROR(VLOOKUP(ROWS($T$3:T16),$R$3:$S$718,2,0),"")</f>
        <v>Výroba textilií</v>
      </c>
      <c r="U16">
        <f>IF(ISNUMBER(SEARCH('1Př1'!$A$33,N16)),MAX($M$2:M15)+1,0)</f>
        <v>14</v>
      </c>
      <c r="V16" s="287" t="s">
        <v>778</v>
      </c>
      <c r="W16" t="str">
        <f>IFERROR(VLOOKUP(ROWS($W$3:W16),$U$3:$V$718,2,0),"")</f>
        <v>Výroba textilií</v>
      </c>
      <c r="X16">
        <f>IF(ISNUMBER(SEARCH('1Př1'!$A$34,N16)),MAX($M$2:M15)+1,0)</f>
        <v>14</v>
      </c>
      <c r="Y16" s="287" t="s">
        <v>778</v>
      </c>
      <c r="Z16" t="str">
        <f>IFERROR(VLOOKUP(ROWS($Z$3:Z16),$X$3:$Y$718,2,0),"")</f>
        <v>Výroba textilií</v>
      </c>
    </row>
    <row r="17" spans="1:26" ht="12.75" customHeight="1" thickBot="1">
      <c r="A17" s="263"/>
      <c r="B17" s="297" t="s">
        <v>779</v>
      </c>
      <c r="C17" s="298">
        <v>13</v>
      </c>
      <c r="D17" s="279">
        <f>IF(ISNUMBER(SEARCH(ZAKL_DATA!$B$14,E17)),MAX($D$2:D16)+1,0)</f>
        <v>15</v>
      </c>
      <c r="E17" s="291" t="s">
        <v>780</v>
      </c>
      <c r="F17" s="292">
        <v>2103</v>
      </c>
      <c r="G17" s="293"/>
      <c r="H17" s="294" t="str">
        <f>IFERROR(VLOOKUP(ROWS($H$3:H17),$D$3:$E$204,2,0),"")</f>
        <v>BENEŠOV</v>
      </c>
      <c r="I17" s="263"/>
      <c r="J17" s="296" t="s">
        <v>781</v>
      </c>
      <c r="K17" s="285" t="s">
        <v>782</v>
      </c>
      <c r="M17" s="286">
        <f>IF(ISNUMBER(SEARCH(ZAKL_DATA!$B$29,N17)),MAX($M$2:M16)+1,0)</f>
        <v>15</v>
      </c>
      <c r="N17" s="791" t="s">
        <v>2163</v>
      </c>
      <c r="O17" s="791" t="s">
        <v>3156</v>
      </c>
      <c r="Q17" s="288" t="str">
        <f>IFERROR(VLOOKUP(ROWS($Q$3:Q17),$M$3:$N$718,2,0),"")</f>
        <v>Činnosti cestovních agentur</v>
      </c>
      <c r="R17">
        <f>IF(ISNUMBER(SEARCH('1Př1'!$A$32,N17)),MAX($M$2:M16)+1,0)</f>
        <v>15</v>
      </c>
      <c r="S17" s="287" t="s">
        <v>783</v>
      </c>
      <c r="T17" t="str">
        <f>IFERROR(VLOOKUP(ROWS($T$3:T17),$R$3:$S$718,2,0),"")</f>
        <v>Množení rostlin</v>
      </c>
      <c r="U17">
        <f>IF(ISNUMBER(SEARCH('1Př1'!$A$33,N17)),MAX($M$2:M16)+1,0)</f>
        <v>15</v>
      </c>
      <c r="V17" s="287" t="s">
        <v>783</v>
      </c>
      <c r="W17" t="str">
        <f>IFERROR(VLOOKUP(ROWS($W$3:W17),$U$3:$V$718,2,0),"")</f>
        <v>Množení rostlin</v>
      </c>
      <c r="X17">
        <f>IF(ISNUMBER(SEARCH('1Př1'!$A$34,N17)),MAX($M$2:M16)+1,0)</f>
        <v>15</v>
      </c>
      <c r="Y17" s="287" t="s">
        <v>783</v>
      </c>
      <c r="Z17" t="str">
        <f>IFERROR(VLOOKUP(ROWS($Z$3:Z17),$X$3:$Y$718,2,0),"")</f>
        <v>Množení rostlin</v>
      </c>
    </row>
    <row r="18" spans="1:26" ht="12.75" customHeight="1">
      <c r="A18" s="263"/>
      <c r="B18" s="263"/>
      <c r="C18" s="263"/>
      <c r="D18" s="279">
        <f>IF(ISNUMBER(SEARCH(ZAKL_DATA!$B$14,E18)),MAX($D$2:D17)+1,0)</f>
        <v>16</v>
      </c>
      <c r="E18" s="291" t="s">
        <v>784</v>
      </c>
      <c r="F18" s="292">
        <v>2104</v>
      </c>
      <c r="G18" s="293"/>
      <c r="H18" s="294" t="str">
        <f>IFERROR(VLOOKUP(ROWS($H$3:H18),$D$3:$E$204,2,0),"")</f>
        <v>BEROUN</v>
      </c>
      <c r="I18" s="263"/>
      <c r="J18" s="296" t="s">
        <v>785</v>
      </c>
      <c r="K18" s="285" t="s">
        <v>786</v>
      </c>
      <c r="M18" s="286">
        <f>IF(ISNUMBER(SEARCH(ZAKL_DATA!$B$29,N18)),MAX($M$2:M17)+1,0)</f>
        <v>16</v>
      </c>
      <c r="N18" s="791" t="s">
        <v>2164</v>
      </c>
      <c r="O18" s="791" t="s">
        <v>3157</v>
      </c>
      <c r="Q18" s="288" t="str">
        <f>IFERROR(VLOOKUP(ROWS($Q$3:Q18),$M$3:$N$718,2,0),"")</f>
        <v>Činnosti cestovních kanceláří</v>
      </c>
      <c r="R18">
        <f>IF(ISNUMBER(SEARCH('1Př1'!$A$32,N18)),MAX($M$2:M17)+1,0)</f>
        <v>16</v>
      </c>
      <c r="S18" s="287" t="s">
        <v>787</v>
      </c>
      <c r="T18" t="str">
        <f>IFERROR(VLOOKUP(ROWS($T$3:T18),$R$3:$S$718,2,0),"")</f>
        <v>Výroba oděvů</v>
      </c>
      <c r="U18">
        <f>IF(ISNUMBER(SEARCH('1Př1'!$A$33,N18)),MAX($M$2:M17)+1,0)</f>
        <v>16</v>
      </c>
      <c r="V18" s="287" t="s">
        <v>787</v>
      </c>
      <c r="W18" t="str">
        <f>IFERROR(VLOOKUP(ROWS($W$3:W18),$U$3:$V$718,2,0),"")</f>
        <v>Výroba oděvů</v>
      </c>
      <c r="X18">
        <f>IF(ISNUMBER(SEARCH('1Př1'!$A$34,N18)),MAX($M$2:M17)+1,0)</f>
        <v>16</v>
      </c>
      <c r="Y18" s="287" t="s">
        <v>787</v>
      </c>
      <c r="Z18" t="str">
        <f>IFERROR(VLOOKUP(ROWS($Z$3:Z18),$X$3:$Y$718,2,0),"")</f>
        <v>Výroba oděvů</v>
      </c>
    </row>
    <row r="19" spans="1:26" ht="12.75" customHeight="1">
      <c r="A19" s="263"/>
      <c r="B19" s="263"/>
      <c r="C19" s="263"/>
      <c r="D19" s="279">
        <f>IF(ISNUMBER(SEARCH(ZAKL_DATA!$B$14,E19)),MAX($D$2:D18)+1,0)</f>
        <v>17</v>
      </c>
      <c r="E19" s="291" t="s">
        <v>788</v>
      </c>
      <c r="F19" s="292">
        <v>2105</v>
      </c>
      <c r="G19" s="293"/>
      <c r="H19" s="294" t="str">
        <f>IFERROR(VLOOKUP(ROWS($H$3:H19),$D$3:$E$204,2,0),"")</f>
        <v>BRANDÝS N.L. - ST.BOL.</v>
      </c>
      <c r="I19" s="263"/>
      <c r="J19" s="296" t="s">
        <v>789</v>
      </c>
      <c r="K19" s="285" t="s">
        <v>790</v>
      </c>
      <c r="M19" s="286">
        <f>IF(ISNUMBER(SEARCH(ZAKL_DATA!$B$29,N19)),MAX($M$2:M18)+1,0)</f>
        <v>17</v>
      </c>
      <c r="N19" s="791" t="s">
        <v>3158</v>
      </c>
      <c r="O19" s="791" t="s">
        <v>3159</v>
      </c>
      <c r="Q19" s="288" t="str">
        <f>IFERROR(VLOOKUP(ROWS($Q$3:Q19),$M$3:$N$718,2,0),"")</f>
        <v>Činnosti denních lázní, saun a parních lázní</v>
      </c>
      <c r="R19">
        <f>IF(ISNUMBER(SEARCH('1Př1'!$A$32,N19)),MAX($M$2:M18)+1,0)</f>
        <v>17</v>
      </c>
      <c r="S19" s="287" t="s">
        <v>791</v>
      </c>
      <c r="T19" t="str">
        <f>IFERROR(VLOOKUP(ROWS($T$3:T19),$R$3:$S$718,2,0),"")</f>
        <v>živočišná výroba</v>
      </c>
      <c r="U19">
        <f>IF(ISNUMBER(SEARCH('1Př1'!$A$33,N19)),MAX($M$2:M18)+1,0)</f>
        <v>17</v>
      </c>
      <c r="V19" s="287" t="s">
        <v>791</v>
      </c>
      <c r="W19" t="str">
        <f>IFERROR(VLOOKUP(ROWS($W$3:W19),$U$3:$V$718,2,0),"")</f>
        <v>živočišná výroba</v>
      </c>
      <c r="X19">
        <f>IF(ISNUMBER(SEARCH('1Př1'!$A$34,N19)),MAX($M$2:M18)+1,0)</f>
        <v>17</v>
      </c>
      <c r="Y19" s="287" t="s">
        <v>791</v>
      </c>
      <c r="Z19" t="str">
        <f>IFERROR(VLOOKUP(ROWS($Z$3:Z19),$X$3:$Y$718,2,0),"")</f>
        <v>živočišná výroba</v>
      </c>
    </row>
    <row r="20" spans="1:26" ht="12.75" customHeight="1">
      <c r="A20" s="263"/>
      <c r="B20" s="263"/>
      <c r="C20" s="263"/>
      <c r="D20" s="279">
        <f>IF(ISNUMBER(SEARCH(ZAKL_DATA!$B$14,E20)),MAX($D$2:D19)+1,0)</f>
        <v>18</v>
      </c>
      <c r="E20" s="291" t="s">
        <v>792</v>
      </c>
      <c r="F20" s="292">
        <v>2106</v>
      </c>
      <c r="G20" s="293"/>
      <c r="H20" s="294" t="str">
        <f>IFERROR(VLOOKUP(ROWS($H$3:H20),$D$3:$E$204,2,0),"")</f>
        <v>ČÁSLAV</v>
      </c>
      <c r="I20" s="263"/>
      <c r="J20" s="296" t="s">
        <v>793</v>
      </c>
      <c r="K20" s="285" t="s">
        <v>794</v>
      </c>
      <c r="M20" s="286">
        <f>IF(ISNUMBER(SEARCH(ZAKL_DATA!$B$29,N20)),MAX($M$2:M19)+1,0)</f>
        <v>18</v>
      </c>
      <c r="N20" s="791" t="s">
        <v>1153</v>
      </c>
      <c r="O20" s="791" t="s">
        <v>3160</v>
      </c>
      <c r="Q20" s="288" t="str">
        <f>IFERROR(VLOOKUP(ROWS($Q$3:Q20),$M$3:$N$718,2,0),"")</f>
        <v>Činnosti domácností jako zaměstnavatelů domácího personálu</v>
      </c>
      <c r="R20">
        <f>IF(ISNUMBER(SEARCH('1Př1'!$A$32,N20)),MAX($M$2:M19)+1,0)</f>
        <v>18</v>
      </c>
      <c r="S20" s="287" t="s">
        <v>795</v>
      </c>
      <c r="T20" t="str">
        <f>IFERROR(VLOOKUP(ROWS($T$3:T20),$R$3:$S$718,2,0),"")</f>
        <v>Výroba usní a souvisejících výrobků</v>
      </c>
      <c r="U20">
        <f>IF(ISNUMBER(SEARCH('1Př1'!$A$33,N20)),MAX($M$2:M19)+1,0)</f>
        <v>18</v>
      </c>
      <c r="V20" s="287" t="s">
        <v>795</v>
      </c>
      <c r="W20" t="str">
        <f>IFERROR(VLOOKUP(ROWS($W$3:W20),$U$3:$V$718,2,0),"")</f>
        <v>Výroba usní a souvisejících výrobků</v>
      </c>
      <c r="X20">
        <f>IF(ISNUMBER(SEARCH('1Př1'!$A$34,N20)),MAX($M$2:M19)+1,0)</f>
        <v>18</v>
      </c>
      <c r="Y20" s="287" t="s">
        <v>795</v>
      </c>
      <c r="Z20" t="str">
        <f>IFERROR(VLOOKUP(ROWS($Z$3:Z20),$X$3:$Y$718,2,0),"")</f>
        <v>Výroba usní a souvisejících výrobků</v>
      </c>
    </row>
    <row r="21" spans="1:26" ht="12.75" customHeight="1">
      <c r="A21" s="263"/>
      <c r="B21" s="263"/>
      <c r="C21" s="263"/>
      <c r="D21" s="279">
        <f>IF(ISNUMBER(SEARCH(ZAKL_DATA!$B$14,E21)),MAX($D$2:D20)+1,0)</f>
        <v>19</v>
      </c>
      <c r="E21" s="291" t="s">
        <v>796</v>
      </c>
      <c r="F21" s="292">
        <v>2107</v>
      </c>
      <c r="G21" s="293"/>
      <c r="H21" s="294" t="str">
        <f>IFERROR(VLOOKUP(ROWS($H$3:H21),$D$3:$E$204,2,0),"")</f>
        <v>ČESKÝ BROD</v>
      </c>
      <c r="I21" s="263"/>
      <c r="J21" s="296" t="s">
        <v>797</v>
      </c>
      <c r="K21" s="285" t="s">
        <v>798</v>
      </c>
      <c r="M21" s="286">
        <f>IF(ISNUMBER(SEARCH(ZAKL_DATA!$B$29,N21)),MAX($M$2:M20)+1,0)</f>
        <v>19</v>
      </c>
      <c r="N21" s="791" t="s">
        <v>3161</v>
      </c>
      <c r="O21" s="791" t="s">
        <v>3162</v>
      </c>
      <c r="Q21" s="288" t="str">
        <f>IFERROR(VLOOKUP(ROWS($Q$3:Q21),$M$3:$N$718,2,0),"")</f>
        <v>Činnosti domácností poskytujících blíže neurčené služby pro vlastní potřebu</v>
      </c>
      <c r="R21">
        <f>IF(ISNUMBER(SEARCH('1Př1'!$A$32,N21)),MAX($M$2:M20)+1,0)</f>
        <v>19</v>
      </c>
      <c r="S21" s="287" t="s">
        <v>799</v>
      </c>
      <c r="T21" t="str">
        <f>IFERROR(VLOOKUP(ROWS($T$3:T21),$R$3:$S$718,2,0),"")</f>
        <v>Smíšené hospodářství</v>
      </c>
      <c r="U21">
        <f>IF(ISNUMBER(SEARCH('1Př1'!$A$33,N21)),MAX($M$2:M20)+1,0)</f>
        <v>19</v>
      </c>
      <c r="V21" s="287" t="s">
        <v>799</v>
      </c>
      <c r="W21" t="str">
        <f>IFERROR(VLOOKUP(ROWS($W$3:W21),$U$3:$V$718,2,0),"")</f>
        <v>Smíšené hospodářství</v>
      </c>
      <c r="X21">
        <f>IF(ISNUMBER(SEARCH('1Př1'!$A$34,N21)),MAX($M$2:M20)+1,0)</f>
        <v>19</v>
      </c>
      <c r="Y21" s="287" t="s">
        <v>799</v>
      </c>
      <c r="Z21" t="str">
        <f>IFERROR(VLOOKUP(ROWS($Z$3:Z21),$X$3:$Y$718,2,0),"")</f>
        <v>Smíšené hospodářství</v>
      </c>
    </row>
    <row r="22" spans="1:26" ht="12.75" customHeight="1">
      <c r="A22" s="263"/>
      <c r="B22" s="263"/>
      <c r="C22" s="263"/>
      <c r="D22" s="279">
        <f>IF(ISNUMBER(SEARCH(ZAKL_DATA!$B$14,E22)),MAX($D$2:D21)+1,0)</f>
        <v>20</v>
      </c>
      <c r="E22" s="291" t="s">
        <v>800</v>
      </c>
      <c r="F22" s="292">
        <v>2108</v>
      </c>
      <c r="G22" s="293"/>
      <c r="H22" s="294" t="str">
        <f>IFERROR(VLOOKUP(ROWS($H$3:H22),$D$3:$E$204,2,0),"")</f>
        <v>DOBŘÍŠ</v>
      </c>
      <c r="I22" s="263"/>
      <c r="J22" s="296" t="s">
        <v>801</v>
      </c>
      <c r="K22" s="285" t="s">
        <v>802</v>
      </c>
      <c r="M22" s="286">
        <f>IF(ISNUMBER(SEARCH(ZAKL_DATA!$B$29,N22)),MAX($M$2:M21)+1,0)</f>
        <v>20</v>
      </c>
      <c r="N22" s="791" t="s">
        <v>3163</v>
      </c>
      <c r="O22" s="791" t="s">
        <v>3164</v>
      </c>
      <c r="Q22" s="288" t="str">
        <f>IFERROR(VLOOKUP(ROWS($Q$3:Q22),$M$3:$N$718,2,0),"")</f>
        <v>Činnosti domácností produkujících blíže neurčené výrobky pro vlastní potřebu</v>
      </c>
      <c r="R22">
        <f>IF(ISNUMBER(SEARCH('1Př1'!$A$32,N22)),MAX($M$2:M21)+1,0)</f>
        <v>20</v>
      </c>
      <c r="S22" s="287" t="s">
        <v>803</v>
      </c>
      <c r="T22" t="str">
        <f>IFERROR(VLOOKUP(ROWS($T$3:T22),$R$3:$S$718,2,0),"")</f>
        <v>Zprac.dřeva,výroba dřevěných,korkových,proutěných a slam.výr.,kromě nábytku</v>
      </c>
      <c r="U22">
        <f>IF(ISNUMBER(SEARCH('1Př1'!$A$33,N22)),MAX($M$2:M21)+1,0)</f>
        <v>20</v>
      </c>
      <c r="V22" s="287" t="s">
        <v>803</v>
      </c>
      <c r="W22" t="str">
        <f>IFERROR(VLOOKUP(ROWS($W$3:W22),$U$3:$V$718,2,0),"")</f>
        <v>Zprac.dřeva,výroba dřevěných,korkových,proutěných a slam.výr.,kromě nábytku</v>
      </c>
      <c r="X22">
        <f>IF(ISNUMBER(SEARCH('1Př1'!$A$34,N22)),MAX($M$2:M21)+1,0)</f>
        <v>20</v>
      </c>
      <c r="Y22" s="287" t="s">
        <v>803</v>
      </c>
      <c r="Z22" t="str">
        <f>IFERROR(VLOOKUP(ROWS($Z$3:Z22),$X$3:$Y$718,2,0),"")</f>
        <v>Zprac.dřeva,výroba dřevěných,korkových,proutěných a slam.výr.,kromě nábytku</v>
      </c>
    </row>
    <row r="23" spans="1:26" ht="12.75" customHeight="1">
      <c r="A23" s="263"/>
      <c r="B23" s="263"/>
      <c r="C23" s="263"/>
      <c r="D23" s="279">
        <f>IF(ISNUMBER(SEARCH(ZAKL_DATA!$B$14,E23)),MAX($D$2:D22)+1,0)</f>
        <v>21</v>
      </c>
      <c r="E23" s="291" t="s">
        <v>804</v>
      </c>
      <c r="F23" s="292">
        <v>2109</v>
      </c>
      <c r="G23" s="293"/>
      <c r="H23" s="294" t="str">
        <f>IFERROR(VLOOKUP(ROWS($H$3:H23),$D$3:$E$204,2,0),"")</f>
        <v>HOŘOVICE</v>
      </c>
      <c r="I23" s="263"/>
      <c r="J23" s="296" t="s">
        <v>805</v>
      </c>
      <c r="K23" s="285" t="s">
        <v>806</v>
      </c>
      <c r="M23" s="286">
        <f>IF(ISNUMBER(SEARCH(ZAKL_DATA!$B$29,N23)),MAX($M$2:M22)+1,0)</f>
        <v>21</v>
      </c>
      <c r="N23" s="791" t="s">
        <v>2211</v>
      </c>
      <c r="O23" s="791" t="s">
        <v>3165</v>
      </c>
      <c r="Q23" s="288" t="str">
        <f>IFERROR(VLOOKUP(ROWS($Q$3:Q23),$M$3:$N$718,2,0),"")</f>
        <v>Činnosti environmentálních a ekologických hnutí</v>
      </c>
      <c r="R23">
        <f>IF(ISNUMBER(SEARCH('1Př1'!$A$32,N23)),MAX($M$2:M22)+1,0)</f>
        <v>21</v>
      </c>
      <c r="S23" s="287" t="s">
        <v>807</v>
      </c>
      <c r="T23" t="str">
        <f>IFERROR(VLOOKUP(ROWS($T$3:T23),$R$3:$S$718,2,0),"")</f>
        <v>Podpůrné činnosti pro zemědělství a posklizňové činnosti</v>
      </c>
      <c r="U23">
        <f>IF(ISNUMBER(SEARCH('1Př1'!$A$33,N23)),MAX($M$2:M22)+1,0)</f>
        <v>21</v>
      </c>
      <c r="V23" s="287" t="s">
        <v>807</v>
      </c>
      <c r="W23" t="str">
        <f>IFERROR(VLOOKUP(ROWS($W$3:W23),$U$3:$V$718,2,0),"")</f>
        <v>Podpůrné činnosti pro zemědělství a posklizňové činnosti</v>
      </c>
      <c r="X23">
        <f>IF(ISNUMBER(SEARCH('1Př1'!$A$34,N23)),MAX($M$2:M22)+1,0)</f>
        <v>21</v>
      </c>
      <c r="Y23" s="287" t="s">
        <v>807</v>
      </c>
      <c r="Z23" t="str">
        <f>IFERROR(VLOOKUP(ROWS($Z$3:Z23),$X$3:$Y$718,2,0),"")</f>
        <v>Podpůrné činnosti pro zemědělství a posklizňové činnosti</v>
      </c>
    </row>
    <row r="24" spans="1:26" ht="12.75" customHeight="1">
      <c r="A24" s="263"/>
      <c r="B24" s="263"/>
      <c r="C24" s="263"/>
      <c r="D24" s="279">
        <f>IF(ISNUMBER(SEARCH(ZAKL_DATA!$B$14,E24)),MAX($D$2:D23)+1,0)</f>
        <v>22</v>
      </c>
      <c r="E24" s="291" t="s">
        <v>808</v>
      </c>
      <c r="F24" s="292">
        <v>2110</v>
      </c>
      <c r="G24" s="293"/>
      <c r="H24" s="294" t="str">
        <f>IFERROR(VLOOKUP(ROWS($H$3:H24),$D$3:$E$204,2,0),"")</f>
        <v>KLADNO</v>
      </c>
      <c r="I24" s="263"/>
      <c r="J24" s="296" t="s">
        <v>809</v>
      </c>
      <c r="K24" s="285" t="s">
        <v>810</v>
      </c>
      <c r="M24" s="286">
        <f>IF(ISNUMBER(SEARCH(ZAKL_DATA!$B$29,N24)),MAX($M$2:M23)+1,0)</f>
        <v>22</v>
      </c>
      <c r="N24" s="791" t="s">
        <v>3166</v>
      </c>
      <c r="O24" s="791" t="s">
        <v>3167</v>
      </c>
      <c r="Q24" s="288" t="str">
        <f>IFERROR(VLOOKUP(ROWS($Q$3:Q24),$M$3:$N$718,2,0),"")</f>
        <v>Činnosti exteritoriálních organizací a institucí</v>
      </c>
      <c r="R24">
        <f>IF(ISNUMBER(SEARCH('1Př1'!$A$32,N24)),MAX($M$2:M23)+1,0)</f>
        <v>22</v>
      </c>
      <c r="S24" s="287" t="s">
        <v>811</v>
      </c>
      <c r="T24" t="str">
        <f>IFERROR(VLOOKUP(ROWS($T$3:T24),$R$3:$S$718,2,0),"")</f>
        <v>Výroba papíru a výrobků z papíru</v>
      </c>
      <c r="U24">
        <f>IF(ISNUMBER(SEARCH('1Př1'!$A$33,N24)),MAX($M$2:M23)+1,0)</f>
        <v>22</v>
      </c>
      <c r="V24" s="287" t="s">
        <v>811</v>
      </c>
      <c r="W24" t="str">
        <f>IFERROR(VLOOKUP(ROWS($W$3:W24),$U$3:$V$718,2,0),"")</f>
        <v>Výroba papíru a výrobků z papíru</v>
      </c>
      <c r="X24">
        <f>IF(ISNUMBER(SEARCH('1Př1'!$A$34,N24)),MAX($M$2:M23)+1,0)</f>
        <v>22</v>
      </c>
      <c r="Y24" s="287" t="s">
        <v>811</v>
      </c>
      <c r="Z24" t="str">
        <f>IFERROR(VLOOKUP(ROWS($Z$3:Z24),$X$3:$Y$718,2,0),"")</f>
        <v>Výroba papíru a výrobků z papíru</v>
      </c>
    </row>
    <row r="25" spans="1:26" ht="12.75" customHeight="1">
      <c r="A25" s="263"/>
      <c r="B25" s="263"/>
      <c r="C25" s="263"/>
      <c r="D25" s="279">
        <f>IF(ISNUMBER(SEARCH(ZAKL_DATA!$B$14,E25)),MAX($D$2:D24)+1,0)</f>
        <v>23</v>
      </c>
      <c r="E25" s="291" t="s">
        <v>812</v>
      </c>
      <c r="F25" s="292">
        <v>2111</v>
      </c>
      <c r="G25" s="293"/>
      <c r="H25" s="294" t="str">
        <f>IFERROR(VLOOKUP(ROWS($H$3:H25),$D$3:$E$204,2,0),"")</f>
        <v>KOLÍN</v>
      </c>
      <c r="I25" s="263"/>
      <c r="J25" s="296" t="s">
        <v>813</v>
      </c>
      <c r="K25" s="285" t="s">
        <v>814</v>
      </c>
      <c r="M25" s="286">
        <f>IF(ISNUMBER(SEARCH(ZAKL_DATA!$B$29,N25)),MAX($M$2:M24)+1,0)</f>
        <v>23</v>
      </c>
      <c r="N25" s="791" t="s">
        <v>2185</v>
      </c>
      <c r="O25" s="791" t="s">
        <v>3168</v>
      </c>
      <c r="Q25" s="288" t="str">
        <f>IFERROR(VLOOKUP(ROWS($Q$3:Q25),$M$3:$N$718,2,0),"")</f>
        <v>Činnosti fitcenter</v>
      </c>
      <c r="R25">
        <f>IF(ISNUMBER(SEARCH('1Př1'!$A$32,N25)),MAX($M$2:M24)+1,0)</f>
        <v>23</v>
      </c>
      <c r="S25" s="287" t="s">
        <v>815</v>
      </c>
      <c r="T25" t="str">
        <f>IFERROR(VLOOKUP(ROWS($T$3:T25),$R$3:$S$718,2,0),"")</f>
        <v>Lov a odchyt divokých zvířat a související činnosti</v>
      </c>
      <c r="U25">
        <f>IF(ISNUMBER(SEARCH('1Př1'!$A$33,N25)),MAX($M$2:M24)+1,0)</f>
        <v>23</v>
      </c>
      <c r="V25" s="287" t="s">
        <v>815</v>
      </c>
      <c r="W25" t="str">
        <f>IFERROR(VLOOKUP(ROWS($W$3:W25),$U$3:$V$718,2,0),"")</f>
        <v>Lov a odchyt divokých zvířat a související činnosti</v>
      </c>
      <c r="X25">
        <f>IF(ISNUMBER(SEARCH('1Př1'!$A$34,N25)),MAX($M$2:M24)+1,0)</f>
        <v>23</v>
      </c>
      <c r="Y25" s="287" t="s">
        <v>815</v>
      </c>
      <c r="Z25" t="str">
        <f>IFERROR(VLOOKUP(ROWS($Z$3:Z25),$X$3:$Y$718,2,0),"")</f>
        <v>Lov a odchyt divokých zvířat a související činnosti</v>
      </c>
    </row>
    <row r="26" spans="1:26" ht="12.75" customHeight="1">
      <c r="A26" s="263"/>
      <c r="B26" s="263"/>
      <c r="C26" s="263"/>
      <c r="D26" s="279">
        <f>IF(ISNUMBER(SEARCH(ZAKL_DATA!$B$14,E26)),MAX($D$2:D25)+1,0)</f>
        <v>24</v>
      </c>
      <c r="E26" s="291" t="s">
        <v>816</v>
      </c>
      <c r="F26" s="292">
        <v>2112</v>
      </c>
      <c r="G26" s="293"/>
      <c r="H26" s="294" t="str">
        <f>IFERROR(VLOOKUP(ROWS($H$3:H26),$D$3:$E$204,2,0),"")</f>
        <v>KRALUPY NAD VLTAVOU</v>
      </c>
      <c r="I26" s="263"/>
      <c r="J26" s="296" t="s">
        <v>817</v>
      </c>
      <c r="K26" s="285" t="s">
        <v>818</v>
      </c>
      <c r="M26" s="286">
        <f>IF(ISNUMBER(SEARCH(ZAKL_DATA!$B$29,N26)),MAX($M$2:M25)+1,0)</f>
        <v>24</v>
      </c>
      <c r="N26" s="791" t="s">
        <v>3169</v>
      </c>
      <c r="O26" s="791" t="s">
        <v>3170</v>
      </c>
      <c r="Q26" s="288" t="str">
        <f>IFERROR(VLOOKUP(ROWS($Q$3:Q26),$M$3:$N$718,2,0),"")</f>
        <v>Činnosti fyzioterapeutů</v>
      </c>
      <c r="R26">
        <f>IF(ISNUMBER(SEARCH('1Př1'!$A$32,N26)),MAX($M$2:M25)+1,0)</f>
        <v>24</v>
      </c>
      <c r="S26" s="287" t="s">
        <v>819</v>
      </c>
      <c r="T26" t="str">
        <f>IFERROR(VLOOKUP(ROWS($T$3:T26),$R$3:$S$718,2,0),"")</f>
        <v>Tisk a rozmnožování nahraných nosičů</v>
      </c>
      <c r="U26">
        <f>IF(ISNUMBER(SEARCH('1Př1'!$A$33,N26)),MAX($M$2:M25)+1,0)</f>
        <v>24</v>
      </c>
      <c r="V26" s="287" t="s">
        <v>819</v>
      </c>
      <c r="W26" t="str">
        <f>IFERROR(VLOOKUP(ROWS($W$3:W26),$U$3:$V$718,2,0),"")</f>
        <v>Tisk a rozmnožování nahraných nosičů</v>
      </c>
      <c r="X26">
        <f>IF(ISNUMBER(SEARCH('1Př1'!$A$34,N26)),MAX($M$2:M25)+1,0)</f>
        <v>24</v>
      </c>
      <c r="Y26" s="287" t="s">
        <v>819</v>
      </c>
      <c r="Z26" t="str">
        <f>IFERROR(VLOOKUP(ROWS($Z$3:Z26),$X$3:$Y$718,2,0),"")</f>
        <v>Tisk a rozmnožování nahraných nosičů</v>
      </c>
    </row>
    <row r="27" spans="1:26" ht="12.75" customHeight="1">
      <c r="A27" s="263"/>
      <c r="B27" s="263"/>
      <c r="C27" s="263"/>
      <c r="D27" s="279">
        <f>IF(ISNUMBER(SEARCH(ZAKL_DATA!$B$14,E27)),MAX($D$2:D26)+1,0)</f>
        <v>25</v>
      </c>
      <c r="E27" s="291" t="s">
        <v>820</v>
      </c>
      <c r="F27" s="292">
        <v>2113</v>
      </c>
      <c r="G27" s="293"/>
      <c r="H27" s="294" t="str">
        <f>IFERROR(VLOOKUP(ROWS($H$3:H27),$D$3:$E$204,2,0),"")</f>
        <v>KUTNÁ HORA</v>
      </c>
      <c r="I27" s="263"/>
      <c r="J27" s="296" t="s">
        <v>821</v>
      </c>
      <c r="K27" s="285" t="s">
        <v>822</v>
      </c>
      <c r="M27" s="286">
        <f>IF(ISNUMBER(SEARCH(ZAKL_DATA!$B$29,N27)),MAX($M$2:M26)+1,0)</f>
        <v>25</v>
      </c>
      <c r="N27" s="791" t="s">
        <v>1133</v>
      </c>
      <c r="O27" s="791" t="s">
        <v>3171</v>
      </c>
      <c r="Q27" s="288" t="str">
        <f>IFERROR(VLOOKUP(ROWS($Q$3:Q27),$M$3:$N$718,2,0),"")</f>
        <v>Činnosti heren, kasin a sázkových kanceláří</v>
      </c>
      <c r="R27">
        <f>IF(ISNUMBER(SEARCH('1Př1'!$A$32,N27)),MAX($M$2:M26)+1,0)</f>
        <v>25</v>
      </c>
      <c r="S27" s="287" t="s">
        <v>823</v>
      </c>
      <c r="T27" t="str">
        <f>IFERROR(VLOOKUP(ROWS($T$3:T27),$R$3:$S$718,2,0),"")</f>
        <v>Výroba koksu a rafinovaných ropných produktů</v>
      </c>
      <c r="U27">
        <f>IF(ISNUMBER(SEARCH('1Př1'!$A$33,N27)),MAX($M$2:M26)+1,0)</f>
        <v>25</v>
      </c>
      <c r="V27" s="287" t="s">
        <v>823</v>
      </c>
      <c r="W27" t="str">
        <f>IFERROR(VLOOKUP(ROWS($W$3:W27),$U$3:$V$718,2,0),"")</f>
        <v>Výroba koksu a rafinovaných ropných produktů</v>
      </c>
      <c r="X27">
        <f>IF(ISNUMBER(SEARCH('1Př1'!$A$34,N27)),MAX($M$2:M26)+1,0)</f>
        <v>25</v>
      </c>
      <c r="Y27" s="287" t="s">
        <v>823</v>
      </c>
      <c r="Z27" t="str">
        <f>IFERROR(VLOOKUP(ROWS($Z$3:Z27),$X$3:$Y$718,2,0),"")</f>
        <v>Výroba koksu a rafinovaných ropných produktů</v>
      </c>
    </row>
    <row r="28" spans="1:26" ht="12.75" customHeight="1">
      <c r="A28" s="263"/>
      <c r="B28" s="263"/>
      <c r="C28" s="263"/>
      <c r="D28" s="279">
        <f>IF(ISNUMBER(SEARCH(ZAKL_DATA!$B$14,E28)),MAX($D$2:D27)+1,0)</f>
        <v>26</v>
      </c>
      <c r="E28" s="291" t="s">
        <v>824</v>
      </c>
      <c r="F28" s="292">
        <v>2114</v>
      </c>
      <c r="G28" s="293"/>
      <c r="H28" s="294" t="str">
        <f>IFERROR(VLOOKUP(ROWS($H$3:H28),$D$3:$E$204,2,0),"")</f>
        <v>MĚLNÍK</v>
      </c>
      <c r="I28" s="263"/>
      <c r="J28" s="296" t="s">
        <v>825</v>
      </c>
      <c r="K28" s="285" t="s">
        <v>826</v>
      </c>
      <c r="M28" s="286">
        <f>IF(ISNUMBER(SEARCH(ZAKL_DATA!$B$29,N28)),MAX($M$2:M27)+1,0)</f>
        <v>26</v>
      </c>
      <c r="N28" s="791" t="s">
        <v>1731</v>
      </c>
      <c r="O28" s="791" t="s">
        <v>3172</v>
      </c>
      <c r="Q28" s="288" t="str">
        <f>IFERROR(VLOOKUP(ROWS($Q$3:Q28),$M$3:$N$718,2,0),"")</f>
        <v>Činnosti holdingových společností</v>
      </c>
      <c r="R28">
        <f>IF(ISNUMBER(SEARCH('1Př1'!$A$32,N28)),MAX($M$2:M27)+1,0)</f>
        <v>26</v>
      </c>
      <c r="S28" s="287" t="s">
        <v>827</v>
      </c>
      <c r="T28" t="str">
        <f>IFERROR(VLOOKUP(ROWS($T$3:T28),$R$3:$S$718,2,0),"")</f>
        <v>Výroba chemických látek a chemických přípravků</v>
      </c>
      <c r="U28">
        <f>IF(ISNUMBER(SEARCH('1Př1'!$A$33,N28)),MAX($M$2:M27)+1,0)</f>
        <v>26</v>
      </c>
      <c r="V28" s="287" t="s">
        <v>827</v>
      </c>
      <c r="W28" t="str">
        <f>IFERROR(VLOOKUP(ROWS($W$3:W28),$U$3:$V$718,2,0),"")</f>
        <v>Výroba chemických látek a chemických přípravků</v>
      </c>
      <c r="X28">
        <f>IF(ISNUMBER(SEARCH('1Př1'!$A$34,N28)),MAX($M$2:M27)+1,0)</f>
        <v>26</v>
      </c>
      <c r="Y28" s="287" t="s">
        <v>827</v>
      </c>
      <c r="Z28" t="str">
        <f>IFERROR(VLOOKUP(ROWS($Z$3:Z28),$X$3:$Y$718,2,0),"")</f>
        <v>Výroba chemických látek a chemických přípravků</v>
      </c>
    </row>
    <row r="29" spans="1:26" ht="12.75" customHeight="1">
      <c r="A29" s="263"/>
      <c r="B29" s="263"/>
      <c r="C29" s="263"/>
      <c r="D29" s="279">
        <f>IF(ISNUMBER(SEARCH(ZAKL_DATA!$B$14,E29)),MAX($D$2:D28)+1,0)</f>
        <v>27</v>
      </c>
      <c r="E29" s="291" t="s">
        <v>828</v>
      </c>
      <c r="F29" s="292">
        <v>2115</v>
      </c>
      <c r="G29" s="293"/>
      <c r="H29" s="294" t="str">
        <f>IFERROR(VLOOKUP(ROWS($H$3:H29),$D$3:$E$204,2,0),"")</f>
        <v>MLADÁ BOLESLAV</v>
      </c>
      <c r="I29" s="263"/>
      <c r="J29" s="296" t="s">
        <v>829</v>
      </c>
      <c r="K29" s="285" t="s">
        <v>830</v>
      </c>
      <c r="M29" s="286">
        <f>IF(ISNUMBER(SEARCH(ZAKL_DATA!$B$29,N29)),MAX($M$2:M28)+1,0)</f>
        <v>27</v>
      </c>
      <c r="N29" s="791" t="s">
        <v>3173</v>
      </c>
      <c r="O29" s="791" t="s">
        <v>3174</v>
      </c>
      <c r="Q29" s="288" t="str">
        <f>IFERROR(VLOOKUP(ROWS($Q$3:Q29),$M$3:$N$718,2,0),"")</f>
        <v>Činnosti investičních fondů peněžního trhu a investičních fondů jiných než peněžního trhu</v>
      </c>
      <c r="R29">
        <f>IF(ISNUMBER(SEARCH('1Př1'!$A$32,N29)),MAX($M$2:M28)+1,0)</f>
        <v>27</v>
      </c>
      <c r="S29" s="287" t="s">
        <v>831</v>
      </c>
      <c r="T29" t="str">
        <f>IFERROR(VLOOKUP(ROWS($T$3:T29),$R$3:$S$718,2,0),"")</f>
        <v>Výroba základních farmaceutických výrobků a farmaceutických přípravků</v>
      </c>
      <c r="U29">
        <f>IF(ISNUMBER(SEARCH('1Př1'!$A$33,N29)),MAX($M$2:M28)+1,0)</f>
        <v>27</v>
      </c>
      <c r="V29" s="287" t="s">
        <v>831</v>
      </c>
      <c r="W29" t="str">
        <f>IFERROR(VLOOKUP(ROWS($W$3:W29),$U$3:$V$718,2,0),"")</f>
        <v>Výroba základních farmaceutických výrobků a farmaceutických přípravků</v>
      </c>
      <c r="X29">
        <f>IF(ISNUMBER(SEARCH('1Př1'!$A$34,N29)),MAX($M$2:M28)+1,0)</f>
        <v>27</v>
      </c>
      <c r="Y29" s="287" t="s">
        <v>831</v>
      </c>
      <c r="Z29" t="str">
        <f>IFERROR(VLOOKUP(ROWS($Z$3:Z29),$X$3:$Y$718,2,0),"")</f>
        <v>Výroba základních farmaceutických výrobků a farmaceutických přípravků</v>
      </c>
    </row>
    <row r="30" spans="1:26" ht="12.75" customHeight="1">
      <c r="A30" s="263"/>
      <c r="B30" s="263"/>
      <c r="C30" s="263"/>
      <c r="D30" s="279">
        <f>IF(ISNUMBER(SEARCH(ZAKL_DATA!$B$14,E30)),MAX($D$2:D29)+1,0)</f>
        <v>28</v>
      </c>
      <c r="E30" s="291" t="s">
        <v>832</v>
      </c>
      <c r="F30" s="292">
        <v>2116</v>
      </c>
      <c r="G30" s="293"/>
      <c r="H30" s="294" t="str">
        <f>IFERROR(VLOOKUP(ROWS($H$3:H30),$D$3:$E$204,2,0),"")</f>
        <v>MNICHOVO HRADIŠTĚ</v>
      </c>
      <c r="I30" s="263"/>
      <c r="J30" s="296" t="s">
        <v>833</v>
      </c>
      <c r="K30" s="285" t="s">
        <v>834</v>
      </c>
      <c r="M30" s="286">
        <f>IF(ISNUMBER(SEARCH(ZAKL_DATA!$B$29,N30)),MAX($M$2:M29)+1,0)</f>
        <v>28</v>
      </c>
      <c r="N30" s="791" t="s">
        <v>3175</v>
      </c>
      <c r="O30" s="791" t="s">
        <v>3176</v>
      </c>
      <c r="Q30" s="288" t="str">
        <f>IFERROR(VLOOKUP(ROWS($Q$3:Q30),$M$3:$N$718,2,0),"")</f>
        <v>Činnosti jiných organizací sdružujících osoby za účelem prosazování společných a veřejných zájmů j. n.</v>
      </c>
      <c r="R30">
        <f>IF(ISNUMBER(SEARCH('1Př1'!$A$32,N30)),MAX($M$2:M29)+1,0)</f>
        <v>28</v>
      </c>
      <c r="S30" s="287" t="s">
        <v>835</v>
      </c>
      <c r="T30" t="str">
        <f>IFERROR(VLOOKUP(ROWS($T$3:T30),$R$3:$S$718,2,0),"")</f>
        <v>Lesní hospodářství a jiné činnosti v oblasti lesnictví</v>
      </c>
      <c r="U30">
        <f>IF(ISNUMBER(SEARCH('1Př1'!$A$33,N30)),MAX($M$2:M29)+1,0)</f>
        <v>28</v>
      </c>
      <c r="V30" s="287" t="s">
        <v>835</v>
      </c>
      <c r="W30" t="str">
        <f>IFERROR(VLOOKUP(ROWS($W$3:W30),$U$3:$V$718,2,0),"")</f>
        <v>Lesní hospodářství a jiné činnosti v oblasti lesnictví</v>
      </c>
      <c r="X30">
        <f>IF(ISNUMBER(SEARCH('1Př1'!$A$34,N30)),MAX($M$2:M29)+1,0)</f>
        <v>28</v>
      </c>
      <c r="Y30" s="287" t="s">
        <v>835</v>
      </c>
      <c r="Z30" t="str">
        <f>IFERROR(VLOOKUP(ROWS($Z$3:Z30),$X$3:$Y$718,2,0),"")</f>
        <v>Lesní hospodářství a jiné činnosti v oblasti lesnictví</v>
      </c>
    </row>
    <row r="31" spans="1:26" ht="12.75" customHeight="1">
      <c r="A31" s="263"/>
      <c r="B31" s="263"/>
      <c r="C31" s="263"/>
      <c r="D31" s="279">
        <f>IF(ISNUMBER(SEARCH(ZAKL_DATA!$B$14,E31)),MAX($D$2:D30)+1,0)</f>
        <v>29</v>
      </c>
      <c r="E31" s="291" t="s">
        <v>836</v>
      </c>
      <c r="F31" s="292">
        <v>2117</v>
      </c>
      <c r="G31" s="293"/>
      <c r="H31" s="294" t="str">
        <f>IFERROR(VLOOKUP(ROWS($H$3:H31),$D$3:$E$204,2,0),"")</f>
        <v>NERATOVICE</v>
      </c>
      <c r="I31" s="263"/>
      <c r="J31" s="296" t="s">
        <v>837</v>
      </c>
      <c r="K31" s="285" t="s">
        <v>838</v>
      </c>
      <c r="M31" s="286">
        <f>IF(ISNUMBER(SEARCH(ZAKL_DATA!$B$29,N31)),MAX($M$2:M30)+1,0)</f>
        <v>29</v>
      </c>
      <c r="N31" s="791" t="s">
        <v>3177</v>
      </c>
      <c r="O31" s="791" t="s">
        <v>3178</v>
      </c>
      <c r="Q31" s="288" t="str">
        <f>IFERROR(VLOOKUP(ROWS($Q$3:Q31),$M$3:$N$718,2,0),"")</f>
        <v>Činnosti knihoven</v>
      </c>
      <c r="R31">
        <f>IF(ISNUMBER(SEARCH('1Př1'!$A$32,N31)),MAX($M$2:M30)+1,0)</f>
        <v>29</v>
      </c>
      <c r="S31" s="287" t="s">
        <v>839</v>
      </c>
      <c r="T31" t="str">
        <f>IFERROR(VLOOKUP(ROWS($T$3:T31),$R$3:$S$718,2,0),"")</f>
        <v>Výroba pryžových a plastových výrobků</v>
      </c>
      <c r="U31">
        <f>IF(ISNUMBER(SEARCH('1Př1'!$A$33,N31)),MAX($M$2:M30)+1,0)</f>
        <v>29</v>
      </c>
      <c r="V31" s="287" t="s">
        <v>839</v>
      </c>
      <c r="W31" t="str">
        <f>IFERROR(VLOOKUP(ROWS($W$3:W31),$U$3:$V$718,2,0),"")</f>
        <v>Výroba pryžových a plastových výrobků</v>
      </c>
      <c r="X31">
        <f>IF(ISNUMBER(SEARCH('1Př1'!$A$34,N31)),MAX($M$2:M30)+1,0)</f>
        <v>29</v>
      </c>
      <c r="Y31" s="287" t="s">
        <v>839</v>
      </c>
      <c r="Z31" t="str">
        <f>IFERROR(VLOOKUP(ROWS($Z$3:Z31),$X$3:$Y$718,2,0),"")</f>
        <v>Výroba pryžových a plastových výrobků</v>
      </c>
    </row>
    <row r="32" spans="1:26" ht="12.75" customHeight="1">
      <c r="A32" s="263"/>
      <c r="B32" s="263"/>
      <c r="C32" s="263"/>
      <c r="D32" s="279">
        <f>IF(ISNUMBER(SEARCH(ZAKL_DATA!$B$14,E32)),MAX($D$2:D31)+1,0)</f>
        <v>30</v>
      </c>
      <c r="E32" s="291" t="s">
        <v>840</v>
      </c>
      <c r="F32" s="292">
        <v>2118</v>
      </c>
      <c r="G32" s="293"/>
      <c r="H32" s="294" t="str">
        <f>IFERROR(VLOOKUP(ROWS($H$3:H32),$D$3:$E$204,2,0),"")</f>
        <v>NYMBURK</v>
      </c>
      <c r="I32" s="263"/>
      <c r="J32" s="296" t="s">
        <v>841</v>
      </c>
      <c r="K32" s="285" t="s">
        <v>842</v>
      </c>
      <c r="M32" s="286">
        <f>IF(ISNUMBER(SEARCH(ZAKL_DATA!$B$29,N32)),MAX($M$2:M31)+1,0)</f>
        <v>30</v>
      </c>
      <c r="N32" s="791" t="s">
        <v>3179</v>
      </c>
      <c r="O32" s="791" t="s">
        <v>3180</v>
      </c>
      <c r="Q32" s="288" t="str">
        <f>IFERROR(VLOOKUP(ROWS($Q$3:Q32),$M$3:$N$718,2,0),"")</f>
        <v>Činnosti makléřů a agentů v oblasti elektrické energie a zemního plynu</v>
      </c>
      <c r="R32">
        <f>IF(ISNUMBER(SEARCH('1Př1'!$A$32,N32)),MAX($M$2:M31)+1,0)</f>
        <v>30</v>
      </c>
      <c r="S32" s="287" t="s">
        <v>843</v>
      </c>
      <c r="T32" t="str">
        <f>IFERROR(VLOOKUP(ROWS($T$3:T32),$R$3:$S$718,2,0),"")</f>
        <v>Těžba dřeva</v>
      </c>
      <c r="U32">
        <f>IF(ISNUMBER(SEARCH('1Př1'!$A$33,N32)),MAX($M$2:M31)+1,0)</f>
        <v>30</v>
      </c>
      <c r="V32" s="287" t="s">
        <v>843</v>
      </c>
      <c r="W32" t="str">
        <f>IFERROR(VLOOKUP(ROWS($W$3:W32),$U$3:$V$718,2,0),"")</f>
        <v>Těžba dřeva</v>
      </c>
      <c r="X32">
        <f>IF(ISNUMBER(SEARCH('1Př1'!$A$34,N32)),MAX($M$2:M31)+1,0)</f>
        <v>30</v>
      </c>
      <c r="Y32" s="287" t="s">
        <v>843</v>
      </c>
      <c r="Z32" t="str">
        <f>IFERROR(VLOOKUP(ROWS($Z$3:Z32),$X$3:$Y$718,2,0),"")</f>
        <v>Těžba dřeva</v>
      </c>
    </row>
    <row r="33" spans="1:26" ht="12.75" customHeight="1">
      <c r="A33" s="263"/>
      <c r="B33" s="263"/>
      <c r="C33" s="263"/>
      <c r="D33" s="279">
        <f>IF(ISNUMBER(SEARCH(ZAKL_DATA!$B$14,E33)),MAX($D$2:D32)+1,0)</f>
        <v>31</v>
      </c>
      <c r="E33" s="291" t="s">
        <v>844</v>
      </c>
      <c r="F33" s="292">
        <v>2119</v>
      </c>
      <c r="G33" s="293"/>
      <c r="H33" s="294" t="str">
        <f>IFERROR(VLOOKUP(ROWS($H$3:H33),$D$3:$E$204,2,0),"")</f>
        <v>PODĚBRADY</v>
      </c>
      <c r="I33" s="263"/>
      <c r="J33" s="296" t="s">
        <v>845</v>
      </c>
      <c r="K33" s="285" t="s">
        <v>846</v>
      </c>
      <c r="M33" s="286">
        <f>IF(ISNUMBER(SEARCH(ZAKL_DATA!$B$29,N33)),MAX($M$2:M32)+1,0)</f>
        <v>31</v>
      </c>
      <c r="N33" s="791" t="s">
        <v>3181</v>
      </c>
      <c r="O33" s="791" t="s">
        <v>3182</v>
      </c>
      <c r="Q33" s="288" t="str">
        <f>IFERROR(VLOOKUP(ROWS($Q$3:Q33),$M$3:$N$718,2,0),"")</f>
        <v>Činnosti muzeí a galerií</v>
      </c>
      <c r="R33">
        <f>IF(ISNUMBER(SEARCH('1Př1'!$A$32,N33)),MAX($M$2:M32)+1,0)</f>
        <v>31</v>
      </c>
      <c r="S33" s="287" t="s">
        <v>847</v>
      </c>
      <c r="T33" t="str">
        <f>IFERROR(VLOOKUP(ROWS($T$3:T33),$R$3:$S$718,2,0),"")</f>
        <v>Výroba ostatních nekovových minerálních výrobků</v>
      </c>
      <c r="U33">
        <f>IF(ISNUMBER(SEARCH('1Př1'!$A$33,N33)),MAX($M$2:M32)+1,0)</f>
        <v>31</v>
      </c>
      <c r="V33" s="287" t="s">
        <v>847</v>
      </c>
      <c r="W33" t="str">
        <f>IFERROR(VLOOKUP(ROWS($W$3:W33),$U$3:$V$718,2,0),"")</f>
        <v>Výroba ostatních nekovových minerálních výrobků</v>
      </c>
      <c r="X33">
        <f>IF(ISNUMBER(SEARCH('1Př1'!$A$34,N33)),MAX($M$2:M32)+1,0)</f>
        <v>31</v>
      </c>
      <c r="Y33" s="287" t="s">
        <v>847</v>
      </c>
      <c r="Z33" t="str">
        <f>IFERROR(VLOOKUP(ROWS($Z$3:Z33),$X$3:$Y$718,2,0),"")</f>
        <v>Výroba ostatních nekovových minerálních výrobků</v>
      </c>
    </row>
    <row r="34" spans="1:26" ht="12.75" customHeight="1">
      <c r="A34" s="263"/>
      <c r="B34" s="263"/>
      <c r="C34" s="263"/>
      <c r="D34" s="279">
        <f>IF(ISNUMBER(SEARCH(ZAKL_DATA!$B$14,E34)),MAX($D$2:D33)+1,0)</f>
        <v>32</v>
      </c>
      <c r="E34" s="291" t="s">
        <v>848</v>
      </c>
      <c r="F34" s="292">
        <v>2120</v>
      </c>
      <c r="G34" s="293"/>
      <c r="H34" s="294" t="str">
        <f>IFERROR(VLOOKUP(ROWS($H$3:H34),$D$3:$E$204,2,0),"")</f>
        <v>PŘÍBRAM</v>
      </c>
      <c r="I34" s="263"/>
      <c r="J34" s="296" t="s">
        <v>849</v>
      </c>
      <c r="K34" s="285" t="s">
        <v>850</v>
      </c>
      <c r="M34" s="286">
        <f>IF(ISNUMBER(SEARCH(ZAKL_DATA!$B$29,N34)),MAX($M$2:M33)+1,0)</f>
        <v>32</v>
      </c>
      <c r="N34" s="791" t="s">
        <v>2188</v>
      </c>
      <c r="O34" s="791" t="s">
        <v>3183</v>
      </c>
      <c r="Q34" s="288" t="str">
        <f>IFERROR(VLOOKUP(ROWS($Q$3:Q34),$M$3:$N$718,2,0),"")</f>
        <v>Činnosti náboženských organizací</v>
      </c>
      <c r="R34">
        <f>IF(ISNUMBER(SEARCH('1Př1'!$A$32,N34)),MAX($M$2:M33)+1,0)</f>
        <v>32</v>
      </c>
      <c r="S34" s="287" t="s">
        <v>851</v>
      </c>
      <c r="T34" t="str">
        <f>IFERROR(VLOOKUP(ROWS($T$3:T34),$R$3:$S$718,2,0),"")</f>
        <v>Sběr a získávání volně rostoucích plodů a materiálů, kromě dřeva</v>
      </c>
      <c r="U34">
        <f>IF(ISNUMBER(SEARCH('1Př1'!$A$33,N34)),MAX($M$2:M33)+1,0)</f>
        <v>32</v>
      </c>
      <c r="V34" s="287" t="s">
        <v>851</v>
      </c>
      <c r="W34" t="str">
        <f>IFERROR(VLOOKUP(ROWS($W$3:W34),$U$3:$V$718,2,0),"")</f>
        <v>Sběr a získávání volně rostoucích plodů a materiálů, kromě dřeva</v>
      </c>
      <c r="X34">
        <f>IF(ISNUMBER(SEARCH('1Př1'!$A$34,N34)),MAX($M$2:M33)+1,0)</f>
        <v>32</v>
      </c>
      <c r="Y34" s="287" t="s">
        <v>851</v>
      </c>
      <c r="Z34" t="str">
        <f>IFERROR(VLOOKUP(ROWS($Z$3:Z34),$X$3:$Y$718,2,0),"")</f>
        <v>Sběr a získávání volně rostoucích plodů a materiálů, kromě dřeva</v>
      </c>
    </row>
    <row r="35" spans="1:26" ht="12.75" customHeight="1">
      <c r="A35" s="263"/>
      <c r="B35" s="263"/>
      <c r="C35" s="263"/>
      <c r="D35" s="279">
        <f>IF(ISNUMBER(SEARCH(ZAKL_DATA!$B$14,E35)),MAX($D$2:D34)+1,0)</f>
        <v>33</v>
      </c>
      <c r="E35" s="291" t="s">
        <v>852</v>
      </c>
      <c r="F35" s="292">
        <v>2121</v>
      </c>
      <c r="G35" s="293"/>
      <c r="H35" s="294" t="str">
        <f>IFERROR(VLOOKUP(ROWS($H$3:H35),$D$3:$E$204,2,0),"")</f>
        <v>RAKOVNÍK</v>
      </c>
      <c r="I35" s="263"/>
      <c r="J35" s="296" t="s">
        <v>853</v>
      </c>
      <c r="K35" s="285" t="s">
        <v>854</v>
      </c>
      <c r="M35" s="286">
        <f>IF(ISNUMBER(SEARCH(ZAKL_DATA!$B$29,N35)),MAX($M$2:M34)+1,0)</f>
        <v>33</v>
      </c>
      <c r="N35" s="791" t="s">
        <v>2212</v>
      </c>
      <c r="O35" s="791" t="s">
        <v>3184</v>
      </c>
      <c r="Q35" s="288" t="str">
        <f>IFERROR(VLOOKUP(ROWS($Q$3:Q35),$M$3:$N$718,2,0),"")</f>
        <v>Činnosti občanských iniciativ, protestních hnutí</v>
      </c>
      <c r="R35">
        <f>IF(ISNUMBER(SEARCH('1Př1'!$A$32,N35)),MAX($M$2:M34)+1,0)</f>
        <v>33</v>
      </c>
      <c r="S35" s="287" t="s">
        <v>855</v>
      </c>
      <c r="T35" t="str">
        <f>IFERROR(VLOOKUP(ROWS($T$3:T35),$R$3:$S$718,2,0),"")</f>
        <v>Výroba základních kovů, hutní zpracování kovů; slévárenství</v>
      </c>
      <c r="U35">
        <f>IF(ISNUMBER(SEARCH('1Př1'!$A$33,N35)),MAX($M$2:M34)+1,0)</f>
        <v>33</v>
      </c>
      <c r="V35" s="287" t="s">
        <v>855</v>
      </c>
      <c r="W35" t="str">
        <f>IFERROR(VLOOKUP(ROWS($W$3:W35),$U$3:$V$718,2,0),"")</f>
        <v>Výroba základních kovů, hutní zpracování kovů; slévárenství</v>
      </c>
      <c r="X35">
        <f>IF(ISNUMBER(SEARCH('1Př1'!$A$34,N35)),MAX($M$2:M34)+1,0)</f>
        <v>33</v>
      </c>
      <c r="Y35" s="287" t="s">
        <v>855</v>
      </c>
      <c r="Z35" t="str">
        <f>IFERROR(VLOOKUP(ROWS($Z$3:Z35),$X$3:$Y$718,2,0),"")</f>
        <v>Výroba základních kovů, hutní zpracování kovů; slévárenství</v>
      </c>
    </row>
    <row r="36" spans="1:26" ht="12.75" customHeight="1">
      <c r="A36" s="263"/>
      <c r="B36" s="263"/>
      <c r="C36" s="263"/>
      <c r="D36" s="279">
        <f>IF(ISNUMBER(SEARCH(ZAKL_DATA!$B$14,E36)),MAX($D$2:D35)+1,0)</f>
        <v>34</v>
      </c>
      <c r="E36" s="291" t="s">
        <v>856</v>
      </c>
      <c r="F36" s="292">
        <v>2122</v>
      </c>
      <c r="G36" s="293"/>
      <c r="H36" s="294" t="str">
        <f>IFERROR(VLOOKUP(ROWS($H$3:H36),$D$3:$E$204,2,0),"")</f>
        <v>ŘÍČANY</v>
      </c>
      <c r="I36" s="263"/>
      <c r="J36" s="296" t="s">
        <v>857</v>
      </c>
      <c r="K36" s="285" t="s">
        <v>858</v>
      </c>
      <c r="M36" s="286">
        <f>IF(ISNUMBER(SEARCH(ZAKL_DATA!$B$29,N36)),MAX($M$2:M35)+1,0)</f>
        <v>34</v>
      </c>
      <c r="N36" s="791" t="s">
        <v>1805</v>
      </c>
      <c r="O36" s="791" t="s">
        <v>3185</v>
      </c>
      <c r="Q36" s="288" t="str">
        <f>IFERROR(VLOOKUP(ROWS($Q$3:Q36),$M$3:$N$718,2,0),"")</f>
        <v>Činnosti odborových svazů</v>
      </c>
      <c r="R36">
        <f>IF(ISNUMBER(SEARCH('1Př1'!$A$32,N36)),MAX($M$2:M35)+1,0)</f>
        <v>34</v>
      </c>
      <c r="S36" s="287" t="s">
        <v>859</v>
      </c>
      <c r="T36" t="str">
        <f>IFERROR(VLOOKUP(ROWS($T$3:T36),$R$3:$S$718,2,0),"")</f>
        <v>Podpůrné činnosti pro lesnictví</v>
      </c>
      <c r="U36">
        <f>IF(ISNUMBER(SEARCH('1Př1'!$A$33,N36)),MAX($M$2:M35)+1,0)</f>
        <v>34</v>
      </c>
      <c r="V36" s="287" t="s">
        <v>859</v>
      </c>
      <c r="W36" t="str">
        <f>IFERROR(VLOOKUP(ROWS($W$3:W36),$U$3:$V$718,2,0),"")</f>
        <v>Podpůrné činnosti pro lesnictví</v>
      </c>
      <c r="X36">
        <f>IF(ISNUMBER(SEARCH('1Př1'!$A$34,N36)),MAX($M$2:M35)+1,0)</f>
        <v>34</v>
      </c>
      <c r="Y36" s="287" t="s">
        <v>859</v>
      </c>
      <c r="Z36" t="str">
        <f>IFERROR(VLOOKUP(ROWS($Z$3:Z36),$X$3:$Y$718,2,0),"")</f>
        <v>Podpůrné činnosti pro lesnictví</v>
      </c>
    </row>
    <row r="37" spans="1:26" ht="12.75" customHeight="1">
      <c r="A37" s="263"/>
      <c r="B37" s="263"/>
      <c r="C37" s="263"/>
      <c r="D37" s="279">
        <f>IF(ISNUMBER(SEARCH(ZAKL_DATA!$B$14,E37)),MAX($D$2:D36)+1,0)</f>
        <v>35</v>
      </c>
      <c r="E37" s="291" t="s">
        <v>860</v>
      </c>
      <c r="F37" s="292">
        <v>2123</v>
      </c>
      <c r="G37" s="293"/>
      <c r="H37" s="294" t="str">
        <f>IFERROR(VLOOKUP(ROWS($H$3:H37),$D$3:$E$204,2,0),"")</f>
        <v>SEDLČANY</v>
      </c>
      <c r="I37" s="263"/>
      <c r="J37" s="296" t="s">
        <v>861</v>
      </c>
      <c r="K37" s="285" t="s">
        <v>862</v>
      </c>
      <c r="M37" s="286">
        <f>IF(ISNUMBER(SEARCH(ZAKL_DATA!$B$29,N37)),MAX($M$2:M36)+1,0)</f>
        <v>35</v>
      </c>
      <c r="N37" s="791" t="s">
        <v>2207</v>
      </c>
      <c r="O37" s="791" t="s">
        <v>3186</v>
      </c>
      <c r="Q37" s="288" t="str">
        <f>IFERROR(VLOOKUP(ROWS($Q$3:Q37),$M$3:$N$718,2,0),"")</f>
        <v>Činnosti organizací dětí a mládeže</v>
      </c>
      <c r="R37">
        <f>IF(ISNUMBER(SEARCH('1Př1'!$A$32,N37)),MAX($M$2:M36)+1,0)</f>
        <v>35</v>
      </c>
      <c r="S37" s="287" t="s">
        <v>863</v>
      </c>
      <c r="T37" t="str">
        <f>IFERROR(VLOOKUP(ROWS($T$3:T37),$R$3:$S$718,2,0),"")</f>
        <v>Výroba kovových konstrukcí a kovodělných výrobků, kromě strojů a zařízení</v>
      </c>
      <c r="U37">
        <f>IF(ISNUMBER(SEARCH('1Př1'!$A$33,N37)),MAX($M$2:M36)+1,0)</f>
        <v>35</v>
      </c>
      <c r="V37" s="287" t="s">
        <v>863</v>
      </c>
      <c r="W37" t="str">
        <f>IFERROR(VLOOKUP(ROWS($W$3:W37),$U$3:$V$718,2,0),"")</f>
        <v>Výroba kovových konstrukcí a kovodělných výrobků, kromě strojů a zařízení</v>
      </c>
      <c r="X37">
        <f>IF(ISNUMBER(SEARCH('1Př1'!$A$34,N37)),MAX($M$2:M36)+1,0)</f>
        <v>35</v>
      </c>
      <c r="Y37" s="287" t="s">
        <v>863</v>
      </c>
      <c r="Z37" t="str">
        <f>IFERROR(VLOOKUP(ROWS($Z$3:Z37),$X$3:$Y$718,2,0),"")</f>
        <v>Výroba kovových konstrukcí a kovodělných výrobků, kromě strojů a zařízení</v>
      </c>
    </row>
    <row r="38" spans="1:26" ht="12.75" customHeight="1">
      <c r="A38" s="263"/>
      <c r="B38" s="263"/>
      <c r="C38" s="263"/>
      <c r="D38" s="279">
        <f>IF(ISNUMBER(SEARCH(ZAKL_DATA!$B$14,E38)),MAX($D$2:D37)+1,0)</f>
        <v>36</v>
      </c>
      <c r="E38" s="291" t="s">
        <v>864</v>
      </c>
      <c r="F38" s="292">
        <v>2124</v>
      </c>
      <c r="G38" s="293"/>
      <c r="H38" s="294" t="str">
        <f>IFERROR(VLOOKUP(ROWS($H$3:H38),$D$3:$E$204,2,0),"")</f>
        <v>SLANÝ</v>
      </c>
      <c r="I38" s="263"/>
      <c r="J38" s="296" t="s">
        <v>865</v>
      </c>
      <c r="K38" s="285" t="s">
        <v>866</v>
      </c>
      <c r="M38" s="286">
        <f>IF(ISNUMBER(SEARCH(ZAKL_DATA!$B$29,N38)),MAX($M$2:M37)+1,0)</f>
        <v>36</v>
      </c>
      <c r="N38" s="791" t="s">
        <v>3187</v>
      </c>
      <c r="O38" s="791" t="s">
        <v>3188</v>
      </c>
      <c r="Q38" s="288" t="str">
        <f>IFERROR(VLOOKUP(ROWS($Q$3:Q38),$M$3:$N$718,2,0),"")</f>
        <v>Činnosti organizací na ochranu a zlepšení postavení etnických, menšinových a jiných speciálních skupin</v>
      </c>
      <c r="R38">
        <f>IF(ISNUMBER(SEARCH('1Př1'!$A$32,N38)),MAX($M$2:M37)+1,0)</f>
        <v>36</v>
      </c>
      <c r="S38" s="287" t="s">
        <v>867</v>
      </c>
      <c r="T38" t="str">
        <f>IFERROR(VLOOKUP(ROWS($T$3:T38),$R$3:$S$718,2,0),"")</f>
        <v>Výroba počítačů, elektronických a optických přístrojů a zařízení</v>
      </c>
      <c r="U38">
        <f>IF(ISNUMBER(SEARCH('1Př1'!$A$33,N38)),MAX($M$2:M37)+1,0)</f>
        <v>36</v>
      </c>
      <c r="V38" s="287" t="s">
        <v>867</v>
      </c>
      <c r="W38" t="str">
        <f>IFERROR(VLOOKUP(ROWS($W$3:W38),$U$3:$V$718,2,0),"")</f>
        <v>Výroba počítačů, elektronických a optických přístrojů a zařízení</v>
      </c>
      <c r="X38">
        <f>IF(ISNUMBER(SEARCH('1Př1'!$A$34,N38)),MAX($M$2:M37)+1,0)</f>
        <v>36</v>
      </c>
      <c r="Y38" s="287" t="s">
        <v>867</v>
      </c>
      <c r="Z38" t="str">
        <f>IFERROR(VLOOKUP(ROWS($Z$3:Z38),$X$3:$Y$718,2,0),"")</f>
        <v>Výroba počítačů, elektronických a optických přístrojů a zařízení</v>
      </c>
    </row>
    <row r="39" spans="1:26" ht="12.75" customHeight="1">
      <c r="A39" s="263"/>
      <c r="B39" s="263"/>
      <c r="C39" s="263"/>
      <c r="D39" s="279">
        <f>IF(ISNUMBER(SEARCH(ZAKL_DATA!$B$14,E39)),MAX($D$2:D38)+1,0)</f>
        <v>37</v>
      </c>
      <c r="E39" s="291" t="s">
        <v>868</v>
      </c>
      <c r="F39" s="292">
        <v>2125</v>
      </c>
      <c r="G39" s="293"/>
      <c r="H39" s="294" t="str">
        <f>IFERROR(VLOOKUP(ROWS($H$3:H39),$D$3:$E$204,2,0),"")</f>
        <v>VLAŠIM</v>
      </c>
      <c r="I39" s="263"/>
      <c r="J39" s="296" t="s">
        <v>869</v>
      </c>
      <c r="K39" s="285" t="s">
        <v>870</v>
      </c>
      <c r="M39" s="286">
        <f>IF(ISNUMBER(SEARCH(ZAKL_DATA!$B$29,N39)),MAX($M$2:M38)+1,0)</f>
        <v>37</v>
      </c>
      <c r="N39" s="791" t="s">
        <v>2208</v>
      </c>
      <c r="O39" s="791" t="s">
        <v>3189</v>
      </c>
      <c r="Q39" s="288" t="str">
        <f>IFERROR(VLOOKUP(ROWS($Q$3:Q39),$M$3:$N$718,2,0),"")</f>
        <v>Činnosti organizací na podporu kulturní činnosti</v>
      </c>
      <c r="R39">
        <f>IF(ISNUMBER(SEARCH('1Př1'!$A$32,N39)),MAX($M$2:M38)+1,0)</f>
        <v>37</v>
      </c>
      <c r="S39" s="287" t="s">
        <v>871</v>
      </c>
      <c r="T39" t="str">
        <f>IFERROR(VLOOKUP(ROWS($T$3:T39),$R$3:$S$718,2,0),"")</f>
        <v>Výroba elektrických zařízení</v>
      </c>
      <c r="U39">
        <f>IF(ISNUMBER(SEARCH('1Př1'!$A$33,N39)),MAX($M$2:M38)+1,0)</f>
        <v>37</v>
      </c>
      <c r="V39" s="287" t="s">
        <v>871</v>
      </c>
      <c r="W39" t="str">
        <f>IFERROR(VLOOKUP(ROWS($W$3:W39),$U$3:$V$718,2,0),"")</f>
        <v>Výroba elektrických zařízení</v>
      </c>
      <c r="X39">
        <f>IF(ISNUMBER(SEARCH('1Př1'!$A$34,N39)),MAX($M$2:M38)+1,0)</f>
        <v>37</v>
      </c>
      <c r="Y39" s="287" t="s">
        <v>871</v>
      </c>
      <c r="Z39" t="str">
        <f>IFERROR(VLOOKUP(ROWS($Z$3:Z39),$X$3:$Y$718,2,0),"")</f>
        <v>Výroba elektrických zařízení</v>
      </c>
    </row>
    <row r="40" spans="1:26" ht="12.75" customHeight="1">
      <c r="A40" s="263"/>
      <c r="B40" s="263"/>
      <c r="C40" s="263"/>
      <c r="D40" s="279">
        <f>IF(ISNUMBER(SEARCH(ZAKL_DATA!$B$14,E40)),MAX($D$2:D39)+1,0)</f>
        <v>38</v>
      </c>
      <c r="E40" s="291" t="s">
        <v>872</v>
      </c>
      <c r="F40" s="292">
        <v>2126</v>
      </c>
      <c r="G40" s="293"/>
      <c r="H40" s="294" t="str">
        <f>IFERROR(VLOOKUP(ROWS($H$3:H40),$D$3:$E$204,2,0),"")</f>
        <v>VOTICE</v>
      </c>
      <c r="I40" s="263"/>
      <c r="J40" s="296" t="s">
        <v>873</v>
      </c>
      <c r="K40" s="285" t="s">
        <v>874</v>
      </c>
      <c r="M40" s="286">
        <f>IF(ISNUMBER(SEARCH(ZAKL_DATA!$B$29,N40)),MAX($M$2:M39)+1,0)</f>
        <v>38</v>
      </c>
      <c r="N40" s="791" t="s">
        <v>2209</v>
      </c>
      <c r="O40" s="791" t="s">
        <v>3190</v>
      </c>
      <c r="Q40" s="288" t="str">
        <f>IFERROR(VLOOKUP(ROWS($Q$3:Q40),$M$3:$N$718,2,0),"")</f>
        <v>Činnosti organizací na podporu rekreační a zájmové činnosti</v>
      </c>
      <c r="R40">
        <f>IF(ISNUMBER(SEARCH('1Př1'!$A$32,N40)),MAX($M$2:M39)+1,0)</f>
        <v>38</v>
      </c>
      <c r="S40" s="287" t="s">
        <v>875</v>
      </c>
      <c r="T40" t="str">
        <f>IFERROR(VLOOKUP(ROWS($T$3:T40),$R$3:$S$718,2,0),"")</f>
        <v>Výroba strojů a zařízení j. n.</v>
      </c>
      <c r="U40">
        <f>IF(ISNUMBER(SEARCH('1Př1'!$A$33,N40)),MAX($M$2:M39)+1,0)</f>
        <v>38</v>
      </c>
      <c r="V40" s="287" t="s">
        <v>875</v>
      </c>
      <c r="W40" t="str">
        <f>IFERROR(VLOOKUP(ROWS($W$3:W40),$U$3:$V$718,2,0),"")</f>
        <v>Výroba strojů a zařízení j. n.</v>
      </c>
      <c r="X40">
        <f>IF(ISNUMBER(SEARCH('1Př1'!$A$34,N40)),MAX($M$2:M39)+1,0)</f>
        <v>38</v>
      </c>
      <c r="Y40" s="287" t="s">
        <v>875</v>
      </c>
      <c r="Z40" t="str">
        <f>IFERROR(VLOOKUP(ROWS($Z$3:Z40),$X$3:$Y$718,2,0),"")</f>
        <v>Výroba strojů a zařízení j. n.</v>
      </c>
    </row>
    <row r="41" spans="1:26" ht="12.75" customHeight="1">
      <c r="A41" s="263"/>
      <c r="B41" s="263"/>
      <c r="C41" s="263"/>
      <c r="D41" s="279">
        <f>IF(ISNUMBER(SEARCH(ZAKL_DATA!$B$14,E41)),MAX($D$2:D40)+1,0)</f>
        <v>39</v>
      </c>
      <c r="E41" s="291" t="s">
        <v>876</v>
      </c>
      <c r="F41" s="292">
        <v>2201</v>
      </c>
      <c r="G41" s="293"/>
      <c r="H41" s="294" t="str">
        <f>IFERROR(VLOOKUP(ROWS($H$3:H41),$D$3:$E$204,2,0),"")</f>
        <v>ČESKÉ BUDĚJOVICE</v>
      </c>
      <c r="I41" s="263"/>
      <c r="J41" s="296" t="s">
        <v>877</v>
      </c>
      <c r="K41" s="285" t="s">
        <v>878</v>
      </c>
      <c r="M41" s="286">
        <f>IF(ISNUMBER(SEARCH(ZAKL_DATA!$B$29,N41)),MAX($M$2:M40)+1,0)</f>
        <v>39</v>
      </c>
      <c r="N41" s="791" t="s">
        <v>2186</v>
      </c>
      <c r="O41" s="791" t="s">
        <v>3191</v>
      </c>
      <c r="Q41" s="288" t="str">
        <f>IFERROR(VLOOKUP(ROWS($Q$3:Q41),$M$3:$N$718,2,0),"")</f>
        <v>Činnosti podnikatelských a zaměstnavatelských organizací</v>
      </c>
      <c r="R41">
        <f>IF(ISNUMBER(SEARCH('1Př1'!$A$32,N41)),MAX($M$2:M40)+1,0)</f>
        <v>39</v>
      </c>
      <c r="S41" s="287" t="s">
        <v>879</v>
      </c>
      <c r="T41" t="str">
        <f>IFERROR(VLOOKUP(ROWS($T$3:T41),$R$3:$S$718,2,0),"")</f>
        <v>Výroba motorových vozidel (kromě motocyklů), přívěsů a návěsů</v>
      </c>
      <c r="U41">
        <f>IF(ISNUMBER(SEARCH('1Př1'!$A$33,N41)),MAX($M$2:M40)+1,0)</f>
        <v>39</v>
      </c>
      <c r="V41" s="287" t="s">
        <v>879</v>
      </c>
      <c r="W41" t="str">
        <f>IFERROR(VLOOKUP(ROWS($W$3:W41),$U$3:$V$718,2,0),"")</f>
        <v>Výroba motorových vozidel (kromě motocyklů), přívěsů a návěsů</v>
      </c>
      <c r="X41">
        <f>IF(ISNUMBER(SEARCH('1Př1'!$A$34,N41)),MAX($M$2:M40)+1,0)</f>
        <v>39</v>
      </c>
      <c r="Y41" s="287" t="s">
        <v>879</v>
      </c>
      <c r="Z41" t="str">
        <f>IFERROR(VLOOKUP(ROWS($Z$3:Z41),$X$3:$Y$718,2,0),"")</f>
        <v>Výroba motorových vozidel (kromě motocyklů), přívěsů a návěsů</v>
      </c>
    </row>
    <row r="42" spans="1:26" ht="12.75" customHeight="1">
      <c r="A42" s="263"/>
      <c r="B42" s="263"/>
      <c r="C42" s="263"/>
      <c r="D42" s="279">
        <f>IF(ISNUMBER(SEARCH(ZAKL_DATA!$B$14,E42)),MAX($D$2:D41)+1,0)</f>
        <v>40</v>
      </c>
      <c r="E42" s="291" t="s">
        <v>880</v>
      </c>
      <c r="F42" s="292">
        <v>2202</v>
      </c>
      <c r="G42" s="293"/>
      <c r="H42" s="294" t="str">
        <f>IFERROR(VLOOKUP(ROWS($H$3:H42),$D$3:$E$204,2,0),"")</f>
        <v>BLATNÁ</v>
      </c>
      <c r="I42" s="263"/>
      <c r="J42" s="296" t="s">
        <v>881</v>
      </c>
      <c r="K42" s="285" t="s">
        <v>882</v>
      </c>
      <c r="M42" s="286">
        <f>IF(ISNUMBER(SEARCH(ZAKL_DATA!$B$29,N42)),MAX($M$2:M41)+1,0)</f>
        <v>40</v>
      </c>
      <c r="N42" s="791" t="s">
        <v>3192</v>
      </c>
      <c r="O42" s="791" t="s">
        <v>3193</v>
      </c>
      <c r="Q42" s="288" t="str">
        <f>IFERROR(VLOOKUP(ROWS($Q$3:Q42),$M$3:$N$718,2,0),"")</f>
        <v>Činnosti pojišťovacích makléřů a agentů</v>
      </c>
      <c r="R42">
        <f>IF(ISNUMBER(SEARCH('1Př1'!$A$32,N42)),MAX($M$2:M41)+1,0)</f>
        <v>40</v>
      </c>
      <c r="S42" s="287" t="s">
        <v>883</v>
      </c>
      <c r="T42" t="str">
        <f>IFERROR(VLOOKUP(ROWS($T$3:T42),$R$3:$S$718,2,0),"")</f>
        <v>Výroba ostatních dopravních prostředků a zařízení</v>
      </c>
      <c r="U42">
        <f>IF(ISNUMBER(SEARCH('1Př1'!$A$33,N42)),MAX($M$2:M41)+1,0)</f>
        <v>40</v>
      </c>
      <c r="V42" s="287" t="s">
        <v>883</v>
      </c>
      <c r="W42" t="str">
        <f>IFERROR(VLOOKUP(ROWS($W$3:W42),$U$3:$V$718,2,0),"")</f>
        <v>Výroba ostatních dopravních prostředků a zařízení</v>
      </c>
      <c r="X42">
        <f>IF(ISNUMBER(SEARCH('1Př1'!$A$34,N42)),MAX($M$2:M41)+1,0)</f>
        <v>40</v>
      </c>
      <c r="Y42" s="287" t="s">
        <v>883</v>
      </c>
      <c r="Z42" t="str">
        <f>IFERROR(VLOOKUP(ROWS($Z$3:Z42),$X$3:$Y$718,2,0),"")</f>
        <v>Výroba ostatních dopravních prostředků a zařízení</v>
      </c>
    </row>
    <row r="43" spans="1:26" ht="12.75" customHeight="1">
      <c r="A43" s="263"/>
      <c r="B43" s="263"/>
      <c r="C43" s="263"/>
      <c r="D43" s="279">
        <f>IF(ISNUMBER(SEARCH(ZAKL_DATA!$B$14,E43)),MAX($D$2:D42)+1,0)</f>
        <v>41</v>
      </c>
      <c r="E43" s="291" t="s">
        <v>884</v>
      </c>
      <c r="F43" s="292">
        <v>2203</v>
      </c>
      <c r="G43" s="293"/>
      <c r="H43" s="294" t="str">
        <f>IFERROR(VLOOKUP(ROWS($H$3:H43),$D$3:$E$204,2,0),"")</f>
        <v>ČESKÝ KRUMLOV</v>
      </c>
      <c r="I43" s="263"/>
      <c r="J43" s="296" t="s">
        <v>885</v>
      </c>
      <c r="K43" s="285" t="s">
        <v>886</v>
      </c>
      <c r="M43" s="286">
        <f>IF(ISNUMBER(SEARCH(ZAKL_DATA!$B$29,N43)),MAX($M$2:M42)+1,0)</f>
        <v>41</v>
      </c>
      <c r="N43" s="791" t="s">
        <v>3194</v>
      </c>
      <c r="O43" s="791" t="s">
        <v>3195</v>
      </c>
      <c r="Q43" s="288" t="str">
        <f>IFERROR(VLOOKUP(ROWS($Q$3:Q43),$M$3:$N$718,2,0),"")</f>
        <v>Činnosti politických organizací</v>
      </c>
      <c r="R43">
        <f>IF(ISNUMBER(SEARCH('1Př1'!$A$32,N43)),MAX($M$2:M42)+1,0)</f>
        <v>41</v>
      </c>
      <c r="S43" s="287" t="s">
        <v>887</v>
      </c>
      <c r="T43" t="str">
        <f>IFERROR(VLOOKUP(ROWS($T$3:T43),$R$3:$S$718,2,0),"")</f>
        <v>Výroba nábytku</v>
      </c>
      <c r="U43">
        <f>IF(ISNUMBER(SEARCH('1Př1'!$A$33,N43)),MAX($M$2:M42)+1,0)</f>
        <v>41</v>
      </c>
      <c r="V43" s="287" t="s">
        <v>887</v>
      </c>
      <c r="W43" t="str">
        <f>IFERROR(VLOOKUP(ROWS($W$3:W43),$U$3:$V$718,2,0),"")</f>
        <v>Výroba nábytku</v>
      </c>
      <c r="X43">
        <f>IF(ISNUMBER(SEARCH('1Př1'!$A$34,N43)),MAX($M$2:M42)+1,0)</f>
        <v>41</v>
      </c>
      <c r="Y43" s="287" t="s">
        <v>887</v>
      </c>
      <c r="Z43" t="str">
        <f>IFERROR(VLOOKUP(ROWS($Z$3:Z43),$X$3:$Y$718,2,0),"")</f>
        <v>Výroba nábytku</v>
      </c>
    </row>
    <row r="44" spans="1:26" ht="12.75" customHeight="1">
      <c r="A44" s="263"/>
      <c r="B44" s="263"/>
      <c r="C44" s="263"/>
      <c r="D44" s="279">
        <f>IF(ISNUMBER(SEARCH(ZAKL_DATA!$B$14,E44)),MAX($D$2:D43)+1,0)</f>
        <v>42</v>
      </c>
      <c r="E44" s="291" t="s">
        <v>888</v>
      </c>
      <c r="F44" s="292">
        <v>2204</v>
      </c>
      <c r="G44" s="293"/>
      <c r="H44" s="294" t="str">
        <f>IFERROR(VLOOKUP(ROWS($H$3:H44),$D$3:$E$204,2,0),"")</f>
        <v>DAČICE</v>
      </c>
      <c r="I44" s="263"/>
      <c r="J44" s="296" t="s">
        <v>889</v>
      </c>
      <c r="K44" s="285" t="s">
        <v>890</v>
      </c>
      <c r="M44" s="286">
        <f>IF(ISNUMBER(SEARCH(ZAKL_DATA!$B$29,N44)),MAX($M$2:M43)+1,0)</f>
        <v>42</v>
      </c>
      <c r="N44" s="791" t="s">
        <v>2187</v>
      </c>
      <c r="O44" s="791" t="s">
        <v>3196</v>
      </c>
      <c r="Q44" s="288" t="str">
        <f>IFERROR(VLOOKUP(ROWS($Q$3:Q44),$M$3:$N$718,2,0),"")</f>
        <v>Činnosti profesních organizací</v>
      </c>
      <c r="R44">
        <f>IF(ISNUMBER(SEARCH('1Př1'!$A$32,N44)),MAX($M$2:M43)+1,0)</f>
        <v>42</v>
      </c>
      <c r="S44" s="287" t="s">
        <v>891</v>
      </c>
      <c r="T44" t="str">
        <f>IFERROR(VLOOKUP(ROWS($T$3:T44),$R$3:$S$718,2,0),"")</f>
        <v>Rybolov</v>
      </c>
      <c r="U44">
        <f>IF(ISNUMBER(SEARCH('1Př1'!$A$33,N44)),MAX($M$2:M43)+1,0)</f>
        <v>42</v>
      </c>
      <c r="V44" s="287" t="s">
        <v>891</v>
      </c>
      <c r="W44" t="str">
        <f>IFERROR(VLOOKUP(ROWS($W$3:W44),$U$3:$V$718,2,0),"")</f>
        <v>Rybolov</v>
      </c>
      <c r="X44">
        <f>IF(ISNUMBER(SEARCH('1Př1'!$A$34,N44)),MAX($M$2:M43)+1,0)</f>
        <v>42</v>
      </c>
      <c r="Y44" s="287" t="s">
        <v>891</v>
      </c>
      <c r="Z44" t="str">
        <f>IFERROR(VLOOKUP(ROWS($Z$3:Z44),$X$3:$Y$718,2,0),"")</f>
        <v>Rybolov</v>
      </c>
    </row>
    <row r="45" spans="1:26" ht="12.75" customHeight="1">
      <c r="A45" s="263"/>
      <c r="B45" s="263"/>
      <c r="C45" s="263"/>
      <c r="D45" s="279">
        <f>IF(ISNUMBER(SEARCH(ZAKL_DATA!$B$14,E45)),MAX($D$2:D44)+1,0)</f>
        <v>43</v>
      </c>
      <c r="E45" s="291" t="s">
        <v>892</v>
      </c>
      <c r="F45" s="292">
        <v>2205</v>
      </c>
      <c r="G45" s="293"/>
      <c r="H45" s="294" t="str">
        <f>IFERROR(VLOOKUP(ROWS($H$3:H45),$D$3:$E$204,2,0),"")</f>
        <v>JINDŘICHŮV HRADEC</v>
      </c>
      <c r="I45" s="263"/>
      <c r="J45" s="295" t="s">
        <v>893</v>
      </c>
      <c r="K45" s="285" t="s">
        <v>894</v>
      </c>
      <c r="M45" s="286">
        <f>IF(ISNUMBER(SEARCH(ZAKL_DATA!$B$29,N45)),MAX($M$2:M44)+1,0)</f>
        <v>43</v>
      </c>
      <c r="N45" s="791" t="s">
        <v>2206</v>
      </c>
      <c r="O45" s="791" t="s">
        <v>3197</v>
      </c>
      <c r="Q45" s="288" t="str">
        <f>IFERROR(VLOOKUP(ROWS($Q$3:Q45),$M$3:$N$718,2,0),"")</f>
        <v>Činnosti přírodních rezervací a národních parků</v>
      </c>
      <c r="R45">
        <f>IF(ISNUMBER(SEARCH('1Př1'!$A$32,N45)),MAX($M$2:M44)+1,0)</f>
        <v>43</v>
      </c>
      <c r="S45" s="287" t="s">
        <v>895</v>
      </c>
      <c r="T45" t="str">
        <f>IFERROR(VLOOKUP(ROWS($T$3:T45),$R$3:$S$718,2,0),"")</f>
        <v>Ostatní zpracovatelský průmysl</v>
      </c>
      <c r="U45">
        <f>IF(ISNUMBER(SEARCH('1Př1'!$A$33,N45)),MAX($M$2:M44)+1,0)</f>
        <v>43</v>
      </c>
      <c r="V45" s="287" t="s">
        <v>895</v>
      </c>
      <c r="W45" t="str">
        <f>IFERROR(VLOOKUP(ROWS($W$3:W45),$U$3:$V$718,2,0),"")</f>
        <v>Ostatní zpracovatelský průmysl</v>
      </c>
      <c r="X45">
        <f>IF(ISNUMBER(SEARCH('1Př1'!$A$34,N45)),MAX($M$2:M44)+1,0)</f>
        <v>43</v>
      </c>
      <c r="Y45" s="287" t="s">
        <v>895</v>
      </c>
      <c r="Z45" t="str">
        <f>IFERROR(VLOOKUP(ROWS($Z$3:Z45),$X$3:$Y$718,2,0),"")</f>
        <v>Ostatní zpracovatelský průmysl</v>
      </c>
    </row>
    <row r="46" spans="1:26" ht="12.75" customHeight="1">
      <c r="A46" s="263"/>
      <c r="B46" s="263"/>
      <c r="C46" s="263"/>
      <c r="D46" s="279">
        <f>IF(ISNUMBER(SEARCH(ZAKL_DATA!$B$14,E46)),MAX($D$2:D45)+1,0)</f>
        <v>44</v>
      </c>
      <c r="E46" s="291" t="s">
        <v>896</v>
      </c>
      <c r="F46" s="292">
        <v>2206</v>
      </c>
      <c r="G46" s="293"/>
      <c r="H46" s="294" t="str">
        <f>IFERROR(VLOOKUP(ROWS($H$3:H46),$D$3:$E$204,2,0),"")</f>
        <v>KAPLICE</v>
      </c>
      <c r="I46" s="263"/>
      <c r="J46" s="296" t="s">
        <v>897</v>
      </c>
      <c r="K46" s="285" t="s">
        <v>162</v>
      </c>
      <c r="M46" s="286">
        <f>IF(ISNUMBER(SEARCH(ZAKL_DATA!$B$29,N46)),MAX($M$2:M45)+1,0)</f>
        <v>44</v>
      </c>
      <c r="N46" s="791" t="s">
        <v>3198</v>
      </c>
      <c r="O46" s="791" t="s">
        <v>3199</v>
      </c>
      <c r="Q46" s="288" t="str">
        <f>IFERROR(VLOOKUP(ROWS($Q$3:Q46),$M$3:$N$718,2,0),"")</f>
        <v>Činnosti psychologů a psychoterapeutů, kromě lékařů</v>
      </c>
      <c r="R46">
        <f>IF(ISNUMBER(SEARCH('1Př1'!$A$32,N46)),MAX($M$2:M45)+1,0)</f>
        <v>44</v>
      </c>
      <c r="S46" s="287" t="s">
        <v>898</v>
      </c>
      <c r="T46" t="str">
        <f>IFERROR(VLOOKUP(ROWS($T$3:T46),$R$3:$S$718,2,0),"")</f>
        <v>Akvakultura</v>
      </c>
      <c r="U46">
        <f>IF(ISNUMBER(SEARCH('1Př1'!$A$33,N46)),MAX($M$2:M45)+1,0)</f>
        <v>44</v>
      </c>
      <c r="V46" s="287" t="s">
        <v>898</v>
      </c>
      <c r="W46" t="str">
        <f>IFERROR(VLOOKUP(ROWS($W$3:W46),$U$3:$V$718,2,0),"")</f>
        <v>Akvakultura</v>
      </c>
      <c r="X46">
        <f>IF(ISNUMBER(SEARCH('1Př1'!$A$34,N46)),MAX($M$2:M45)+1,0)</f>
        <v>44</v>
      </c>
      <c r="Y46" s="287" t="s">
        <v>898</v>
      </c>
      <c r="Z46" t="str">
        <f>IFERROR(VLOOKUP(ROWS($Z$3:Z46),$X$3:$Y$718,2,0),"")</f>
        <v>Akvakultura</v>
      </c>
    </row>
    <row r="47" spans="1:26" ht="12.75" customHeight="1">
      <c r="A47" s="263"/>
      <c r="B47" s="263"/>
      <c r="C47" s="263"/>
      <c r="D47" s="279">
        <f>IF(ISNUMBER(SEARCH(ZAKL_DATA!$B$14,E47)),MAX($D$2:D46)+1,0)</f>
        <v>45</v>
      </c>
      <c r="E47" s="291" t="s">
        <v>899</v>
      </c>
      <c r="F47" s="292">
        <v>2207</v>
      </c>
      <c r="G47" s="293"/>
      <c r="H47" s="294" t="str">
        <f>IFERROR(VLOOKUP(ROWS($H$3:H47),$D$3:$E$204,2,0),"")</f>
        <v>MILEVSKO</v>
      </c>
      <c r="I47" s="263"/>
      <c r="J47" s="296" t="s">
        <v>900</v>
      </c>
      <c r="K47" s="285" t="s">
        <v>901</v>
      </c>
      <c r="M47" s="286">
        <f>IF(ISNUMBER(SEARCH(ZAKL_DATA!$B$29,N47)),MAX($M$2:M46)+1,0)</f>
        <v>45</v>
      </c>
      <c r="N47" s="791" t="s">
        <v>2154</v>
      </c>
      <c r="O47" s="791" t="s">
        <v>3200</v>
      </c>
      <c r="Q47" s="288" t="str">
        <f>IFERROR(VLOOKUP(ROWS($Q$3:Q47),$M$3:$N$718,2,0),"")</f>
        <v>Činnosti reklamních agentur</v>
      </c>
      <c r="R47">
        <f>IF(ISNUMBER(SEARCH('1Př1'!$A$32,N47)),MAX($M$2:M46)+1,0)</f>
        <v>45</v>
      </c>
      <c r="S47" s="287" t="s">
        <v>902</v>
      </c>
      <c r="T47" t="str">
        <f>IFERROR(VLOOKUP(ROWS($T$3:T47),$R$3:$S$718,2,0),"")</f>
        <v>Opravy a instalace strojů a zařízení</v>
      </c>
      <c r="U47">
        <f>IF(ISNUMBER(SEARCH('1Př1'!$A$33,N47)),MAX($M$2:M46)+1,0)</f>
        <v>45</v>
      </c>
      <c r="V47" s="287" t="s">
        <v>902</v>
      </c>
      <c r="W47" t="str">
        <f>IFERROR(VLOOKUP(ROWS($W$3:W47),$U$3:$V$718,2,0),"")</f>
        <v>Opravy a instalace strojů a zařízení</v>
      </c>
      <c r="X47">
        <f>IF(ISNUMBER(SEARCH('1Př1'!$A$34,N47)),MAX($M$2:M46)+1,0)</f>
        <v>45</v>
      </c>
      <c r="Y47" s="287" t="s">
        <v>902</v>
      </c>
      <c r="Z47" t="str">
        <f>IFERROR(VLOOKUP(ROWS($Z$3:Z47),$X$3:$Y$718,2,0),"")</f>
        <v>Opravy a instalace strojů a zařízení</v>
      </c>
    </row>
    <row r="48" spans="1:26" ht="12.75" customHeight="1">
      <c r="A48" s="263"/>
      <c r="B48" s="263"/>
      <c r="C48" s="263"/>
      <c r="D48" s="279">
        <f>IF(ISNUMBER(SEARCH(ZAKL_DATA!$B$14,E48)),MAX($D$2:D47)+1,0)</f>
        <v>46</v>
      </c>
      <c r="E48" s="291" t="s">
        <v>903</v>
      </c>
      <c r="F48" s="292">
        <v>2208</v>
      </c>
      <c r="G48" s="293"/>
      <c r="H48" s="294" t="str">
        <f>IFERROR(VLOOKUP(ROWS($H$3:H48),$D$3:$E$204,2,0),"")</f>
        <v>PÍSEK</v>
      </c>
      <c r="I48" s="263"/>
      <c r="J48" s="296" t="s">
        <v>904</v>
      </c>
      <c r="K48" s="285" t="s">
        <v>905</v>
      </c>
      <c r="M48" s="286">
        <f>IF(ISNUMBER(SEARCH(ZAKL_DATA!$B$29,N48)),MAX($M$2:M47)+1,0)</f>
        <v>46</v>
      </c>
      <c r="N48" s="791" t="s">
        <v>3201</v>
      </c>
      <c r="O48" s="791" t="s">
        <v>3202</v>
      </c>
      <c r="Q48" s="288" t="str">
        <f>IFERROR(VLOOKUP(ROWS($Q$3:Q48),$M$3:$N$718,2,0),"")</f>
        <v>Činnosti řízení podniků</v>
      </c>
      <c r="R48">
        <f>IF(ISNUMBER(SEARCH('1Př1'!$A$32,N48)),MAX($M$2:M47)+1,0)</f>
        <v>46</v>
      </c>
      <c r="S48" s="287" t="s">
        <v>906</v>
      </c>
      <c r="T48" t="str">
        <f>IFERROR(VLOOKUP(ROWS($T$3:T48),$R$3:$S$718,2,0),"")</f>
        <v>Výroba a rozvod elektřiny, plynu, tepla a klimatizovaného vzduchu</v>
      </c>
      <c r="U48">
        <f>IF(ISNUMBER(SEARCH('1Př1'!$A$33,N48)),MAX($M$2:M47)+1,0)</f>
        <v>46</v>
      </c>
      <c r="V48" s="287" t="s">
        <v>906</v>
      </c>
      <c r="W48" t="str">
        <f>IFERROR(VLOOKUP(ROWS($W$3:W48),$U$3:$V$718,2,0),"")</f>
        <v>Výroba a rozvod elektřiny, plynu, tepla a klimatizovaného vzduchu</v>
      </c>
      <c r="X48">
        <f>IF(ISNUMBER(SEARCH('1Př1'!$A$34,N48)),MAX($M$2:M47)+1,0)</f>
        <v>46</v>
      </c>
      <c r="Y48" s="287" t="s">
        <v>906</v>
      </c>
      <c r="Z48" t="str">
        <f>IFERROR(VLOOKUP(ROWS($Z$3:Z48),$X$3:$Y$718,2,0),"")</f>
        <v>Výroba a rozvod elektřiny, plynu, tepla a klimatizovaného vzduchu</v>
      </c>
    </row>
    <row r="49" spans="1:26" ht="12.75" customHeight="1">
      <c r="A49" s="263"/>
      <c r="B49" s="263"/>
      <c r="C49" s="263"/>
      <c r="D49" s="279">
        <f>IF(ISNUMBER(SEARCH(ZAKL_DATA!$B$14,E49)),MAX($D$2:D48)+1,0)</f>
        <v>47</v>
      </c>
      <c r="E49" s="291" t="s">
        <v>907</v>
      </c>
      <c r="F49" s="292">
        <v>2209</v>
      </c>
      <c r="G49" s="293"/>
      <c r="H49" s="294" t="str">
        <f>IFERROR(VLOOKUP(ROWS($H$3:H49),$D$3:$E$204,2,0),"")</f>
        <v>PRACHATICE</v>
      </c>
      <c r="I49" s="263"/>
      <c r="J49" s="296" t="s">
        <v>908</v>
      </c>
      <c r="K49" s="285" t="s">
        <v>909</v>
      </c>
      <c r="M49" s="286">
        <f>IF(ISNUMBER(SEARCH(ZAKL_DATA!$B$29,N49)),MAX($M$2:M48)+1,0)</f>
        <v>47</v>
      </c>
      <c r="N49" s="791" t="s">
        <v>3203</v>
      </c>
      <c r="O49" s="791" t="s">
        <v>3204</v>
      </c>
      <c r="Q49" s="288" t="str">
        <f>IFERROR(VLOOKUP(ROWS($Q$3:Q49),$M$3:$N$718,2,0),"")</f>
        <v>Činnosti související s diagnostickým zobrazováním a zdravotnické laboratorní činnosti</v>
      </c>
      <c r="R49">
        <f>IF(ISNUMBER(SEARCH('1Př1'!$A$32,N49)),MAX($M$2:M48)+1,0)</f>
        <v>47</v>
      </c>
      <c r="S49" s="287" t="s">
        <v>910</v>
      </c>
      <c r="T49" t="str">
        <f>IFERROR(VLOOKUP(ROWS($T$3:T49),$R$3:$S$718,2,0),"")</f>
        <v>Shromažďování, úprava a rozvod vody</v>
      </c>
      <c r="U49">
        <f>IF(ISNUMBER(SEARCH('1Př1'!$A$33,N49)),MAX($M$2:M48)+1,0)</f>
        <v>47</v>
      </c>
      <c r="V49" s="287" t="s">
        <v>910</v>
      </c>
      <c r="W49" t="str">
        <f>IFERROR(VLOOKUP(ROWS($W$3:W49),$U$3:$V$718,2,0),"")</f>
        <v>Shromažďování, úprava a rozvod vody</v>
      </c>
      <c r="X49">
        <f>IF(ISNUMBER(SEARCH('1Př1'!$A$34,N49)),MAX($M$2:M48)+1,0)</f>
        <v>47</v>
      </c>
      <c r="Y49" s="287" t="s">
        <v>910</v>
      </c>
      <c r="Z49" t="str">
        <f>IFERROR(VLOOKUP(ROWS($Z$3:Z49),$X$3:$Y$718,2,0),"")</f>
        <v>Shromažďování, úprava a rozvod vody</v>
      </c>
    </row>
    <row r="50" spans="1:26" ht="12.75" customHeight="1">
      <c r="A50" s="263"/>
      <c r="B50" s="263"/>
      <c r="C50" s="263"/>
      <c r="D50" s="279">
        <f>IF(ISNUMBER(SEARCH(ZAKL_DATA!$B$14,E50)),MAX($D$2:D49)+1,0)</f>
        <v>48</v>
      </c>
      <c r="E50" s="291" t="s">
        <v>911</v>
      </c>
      <c r="F50" s="292">
        <v>2210</v>
      </c>
      <c r="G50" s="293"/>
      <c r="H50" s="294" t="str">
        <f>IFERROR(VLOOKUP(ROWS($H$3:H50),$D$3:$E$204,2,0),"")</f>
        <v>SOBĚSLAV</v>
      </c>
      <c r="I50" s="263"/>
      <c r="J50" s="296" t="s">
        <v>912</v>
      </c>
      <c r="K50" s="285" t="s">
        <v>913</v>
      </c>
      <c r="M50" s="286">
        <f>IF(ISNUMBER(SEARCH(ZAKL_DATA!$B$29,N50)),MAX($M$2:M49)+1,0)</f>
        <v>48</v>
      </c>
      <c r="N50" s="791" t="s">
        <v>3205</v>
      </c>
      <c r="O50" s="791" t="s">
        <v>3206</v>
      </c>
      <c r="Q50" s="288" t="str">
        <f>IFERROR(VLOOKUP(ROWS($Q$3:Q50),$M$3:$N$718,2,0),"")</f>
        <v>Činnosti související s kabelovou, bezdrátovou a satelitní telekomunikační sítí</v>
      </c>
      <c r="R50">
        <f>IF(ISNUMBER(SEARCH('1Př1'!$A$32,N50)),MAX($M$2:M49)+1,0)</f>
        <v>48</v>
      </c>
      <c r="S50" s="287" t="s">
        <v>914</v>
      </c>
      <c r="T50" t="str">
        <f>IFERROR(VLOOKUP(ROWS($T$3:T50),$R$3:$S$718,2,0),"")</f>
        <v>Činnosti související s odpadními vodami</v>
      </c>
      <c r="U50">
        <f>IF(ISNUMBER(SEARCH('1Př1'!$A$33,N50)),MAX($M$2:M49)+1,0)</f>
        <v>48</v>
      </c>
      <c r="V50" s="287" t="s">
        <v>914</v>
      </c>
      <c r="W50" t="str">
        <f>IFERROR(VLOOKUP(ROWS($W$3:W50),$U$3:$V$718,2,0),"")</f>
        <v>Činnosti související s odpadními vodami</v>
      </c>
      <c r="X50">
        <f>IF(ISNUMBER(SEARCH('1Př1'!$A$34,N50)),MAX($M$2:M49)+1,0)</f>
        <v>48</v>
      </c>
      <c r="Y50" s="287" t="s">
        <v>914</v>
      </c>
      <c r="Z50" t="str">
        <f>IFERROR(VLOOKUP(ROWS($Z$3:Z50),$X$3:$Y$718,2,0),"")</f>
        <v>Činnosti související s odpadními vodami</v>
      </c>
    </row>
    <row r="51" spans="1:26" ht="12.75" customHeight="1">
      <c r="A51" s="263"/>
      <c r="B51" s="263"/>
      <c r="C51" s="263"/>
      <c r="D51" s="279">
        <f>IF(ISNUMBER(SEARCH(ZAKL_DATA!$B$14,E51)),MAX($D$2:D50)+1,0)</f>
        <v>49</v>
      </c>
      <c r="E51" s="291" t="s">
        <v>915</v>
      </c>
      <c r="F51" s="292">
        <v>2211</v>
      </c>
      <c r="G51" s="293"/>
      <c r="H51" s="294" t="str">
        <f>IFERROR(VLOOKUP(ROWS($H$3:H51),$D$3:$E$204,2,0),"")</f>
        <v>STRAKONICE</v>
      </c>
      <c r="I51" s="263"/>
      <c r="J51" s="296" t="s">
        <v>916</v>
      </c>
      <c r="K51" s="285" t="s">
        <v>917</v>
      </c>
      <c r="M51" s="286">
        <f>IF(ISNUMBER(SEARCH(ZAKL_DATA!$B$29,N51)),MAX($M$2:M50)+1,0)</f>
        <v>49</v>
      </c>
      <c r="N51" s="791" t="s">
        <v>2138</v>
      </c>
      <c r="O51" s="791" t="s">
        <v>3207</v>
      </c>
      <c r="Q51" s="288" t="str">
        <f>IFERROR(VLOOKUP(ROWS($Q$3:Q51),$M$3:$N$718,2,0),"")</f>
        <v>Činnosti související s leteckou dopravou</v>
      </c>
      <c r="R51">
        <f>IF(ISNUMBER(SEARCH('1Př1'!$A$32,N51)),MAX($M$2:M50)+1,0)</f>
        <v>49</v>
      </c>
      <c r="S51" s="287" t="s">
        <v>918</v>
      </c>
      <c r="T51" t="str">
        <f>IFERROR(VLOOKUP(ROWS($T$3:T51),$R$3:$S$718,2,0),"")</f>
        <v>Shromažďování,sběr a odstraňování odpadů,úprava odpadů k dalšímu využití</v>
      </c>
      <c r="U51">
        <f>IF(ISNUMBER(SEARCH('1Př1'!$A$33,N51)),MAX($M$2:M50)+1,0)</f>
        <v>49</v>
      </c>
      <c r="V51" s="287" t="s">
        <v>918</v>
      </c>
      <c r="W51" t="str">
        <f>IFERROR(VLOOKUP(ROWS($W$3:W51),$U$3:$V$718,2,0),"")</f>
        <v>Shromažďování,sběr a odstraňování odpadů,úprava odpadů k dalšímu využití</v>
      </c>
      <c r="X51">
        <f>IF(ISNUMBER(SEARCH('1Př1'!$A$34,N51)),MAX($M$2:M50)+1,0)</f>
        <v>49</v>
      </c>
      <c r="Y51" s="287" t="s">
        <v>918</v>
      </c>
      <c r="Z51" t="str">
        <f>IFERROR(VLOOKUP(ROWS($Z$3:Z51),$X$3:$Y$718,2,0),"")</f>
        <v>Shromažďování,sběr a odstraňování odpadů,úprava odpadů k dalšímu využití</v>
      </c>
    </row>
    <row r="52" spans="1:26" ht="12.75" customHeight="1">
      <c r="A52" s="263"/>
      <c r="B52" s="263"/>
      <c r="C52" s="263"/>
      <c r="D52" s="279">
        <f>IF(ISNUMBER(SEARCH(ZAKL_DATA!$B$14,E52)),MAX($D$2:D51)+1,0)</f>
        <v>50</v>
      </c>
      <c r="E52" s="291" t="s">
        <v>919</v>
      </c>
      <c r="F52" s="292">
        <v>2212</v>
      </c>
      <c r="G52" s="293"/>
      <c r="H52" s="294" t="str">
        <f>IFERROR(VLOOKUP(ROWS($H$3:H52),$D$3:$E$204,2,0),"")</f>
        <v>TÁBOR</v>
      </c>
      <c r="I52" s="263"/>
      <c r="J52" s="296" t="s">
        <v>920</v>
      </c>
      <c r="K52" s="285" t="s">
        <v>921</v>
      </c>
      <c r="M52" s="286">
        <f>IF(ISNUMBER(SEARCH(ZAKL_DATA!$B$29,N52)),MAX($M$2:M51)+1,0)</f>
        <v>50</v>
      </c>
      <c r="N52" s="791" t="s">
        <v>914</v>
      </c>
      <c r="O52" s="791" t="s">
        <v>3208</v>
      </c>
      <c r="Q52" s="288" t="str">
        <f>IFERROR(VLOOKUP(ROWS($Q$3:Q52),$M$3:$N$718,2,0),"")</f>
        <v>Činnosti související s odpadními vodami</v>
      </c>
      <c r="R52">
        <f>IF(ISNUMBER(SEARCH('1Př1'!$A$32,N52)),MAX($M$2:M51)+1,0)</f>
        <v>50</v>
      </c>
      <c r="S52" s="287" t="s">
        <v>922</v>
      </c>
      <c r="T52" t="str">
        <f>IFERROR(VLOOKUP(ROWS($T$3:T52),$R$3:$S$718,2,0),"")</f>
        <v>Sanace a jiné činnosti související s odpady</v>
      </c>
      <c r="U52">
        <f>IF(ISNUMBER(SEARCH('1Př1'!$A$33,N52)),MAX($M$2:M51)+1,0)</f>
        <v>50</v>
      </c>
      <c r="V52" s="287" t="s">
        <v>922</v>
      </c>
      <c r="W52" t="str">
        <f>IFERROR(VLOOKUP(ROWS($W$3:W52),$U$3:$V$718,2,0),"")</f>
        <v>Sanace a jiné činnosti související s odpady</v>
      </c>
      <c r="X52">
        <f>IF(ISNUMBER(SEARCH('1Př1'!$A$34,N52)),MAX($M$2:M51)+1,0)</f>
        <v>50</v>
      </c>
      <c r="Y52" s="287" t="s">
        <v>922</v>
      </c>
      <c r="Z52" t="str">
        <f>IFERROR(VLOOKUP(ROWS($Z$3:Z52),$X$3:$Y$718,2,0),"")</f>
        <v>Sanace a jiné činnosti související s odpady</v>
      </c>
    </row>
    <row r="53" spans="1:26" ht="12.75" customHeight="1">
      <c r="A53" s="263"/>
      <c r="B53" s="263"/>
      <c r="C53" s="263"/>
      <c r="D53" s="279">
        <f>IF(ISNUMBER(SEARCH(ZAKL_DATA!$B$14,E53)),MAX($D$2:D52)+1,0)</f>
        <v>51</v>
      </c>
      <c r="E53" s="291" t="s">
        <v>923</v>
      </c>
      <c r="F53" s="292">
        <v>2213</v>
      </c>
      <c r="G53" s="293"/>
      <c r="H53" s="294" t="str">
        <f>IFERROR(VLOOKUP(ROWS($H$3:H53),$D$3:$E$204,2,0),"")</f>
        <v>TRHOVÉ SVINY</v>
      </c>
      <c r="I53" s="263"/>
      <c r="J53" s="296" t="s">
        <v>924</v>
      </c>
      <c r="K53" s="285" t="s">
        <v>925</v>
      </c>
      <c r="M53" s="286">
        <f>IF(ISNUMBER(SEARCH(ZAKL_DATA!$B$29,N53)),MAX($M$2:M52)+1,0)</f>
        <v>51</v>
      </c>
      <c r="N53" s="791" t="s">
        <v>2136</v>
      </c>
      <c r="O53" s="791" t="s">
        <v>3209</v>
      </c>
      <c r="Q53" s="288" t="str">
        <f>IFERROR(VLOOKUP(ROWS($Q$3:Q53),$M$3:$N$718,2,0),"")</f>
        <v>Činnosti související s pozemní dopravou</v>
      </c>
      <c r="R53">
        <f>IF(ISNUMBER(SEARCH('1Př1'!$A$32,N53)),MAX($M$2:M52)+1,0)</f>
        <v>51</v>
      </c>
      <c r="S53" s="287" t="s">
        <v>926</v>
      </c>
      <c r="T53" t="str">
        <f>IFERROR(VLOOKUP(ROWS($T$3:T53),$R$3:$S$718,2,0),"")</f>
        <v>Výstavba budov</v>
      </c>
      <c r="U53">
        <f>IF(ISNUMBER(SEARCH('1Př1'!$A$33,N53)),MAX($M$2:M52)+1,0)</f>
        <v>51</v>
      </c>
      <c r="V53" s="287" t="s">
        <v>926</v>
      </c>
      <c r="W53" t="str">
        <f>IFERROR(VLOOKUP(ROWS($W$3:W53),$U$3:$V$718,2,0),"")</f>
        <v>Výstavba budov</v>
      </c>
      <c r="X53">
        <f>IF(ISNUMBER(SEARCH('1Př1'!$A$34,N53)),MAX($M$2:M52)+1,0)</f>
        <v>51</v>
      </c>
      <c r="Y53" s="287" t="s">
        <v>926</v>
      </c>
      <c r="Z53" t="str">
        <f>IFERROR(VLOOKUP(ROWS($Z$3:Z53),$X$3:$Y$718,2,0),"")</f>
        <v>Výstavba budov</v>
      </c>
    </row>
    <row r="54" spans="1:26" ht="12.75" customHeight="1">
      <c r="A54" s="263"/>
      <c r="B54" s="263"/>
      <c r="C54" s="263"/>
      <c r="D54" s="279">
        <f>IF(ISNUMBER(SEARCH(ZAKL_DATA!$B$14,E54)),MAX($D$2:D53)+1,0)</f>
        <v>52</v>
      </c>
      <c r="E54" s="291" t="s">
        <v>927</v>
      </c>
      <c r="F54" s="292">
        <v>2214</v>
      </c>
      <c r="G54" s="293"/>
      <c r="H54" s="294" t="str">
        <f>IFERROR(VLOOKUP(ROWS($H$3:H54),$D$3:$E$204,2,0),"")</f>
        <v>TŘEBOŇ</v>
      </c>
      <c r="I54" s="263"/>
      <c r="J54" s="296" t="s">
        <v>928</v>
      </c>
      <c r="K54" s="285" t="s">
        <v>929</v>
      </c>
      <c r="M54" s="286">
        <f>IF(ISNUMBER(SEARCH(ZAKL_DATA!$B$29,N54)),MAX($M$2:M53)+1,0)</f>
        <v>52</v>
      </c>
      <c r="N54" s="791" t="s">
        <v>1774</v>
      </c>
      <c r="O54" s="791" t="s">
        <v>3210</v>
      </c>
      <c r="Q54" s="288" t="str">
        <f>IFERROR(VLOOKUP(ROWS($Q$3:Q54),$M$3:$N$718,2,0),"")</f>
        <v>Činnosti související s úpravou krajiny</v>
      </c>
      <c r="R54">
        <f>IF(ISNUMBER(SEARCH('1Př1'!$A$32,N54)),MAX($M$2:M53)+1,0)</f>
        <v>52</v>
      </c>
      <c r="S54" s="287" t="s">
        <v>930</v>
      </c>
      <c r="T54" t="str">
        <f>IFERROR(VLOOKUP(ROWS($T$3:T54),$R$3:$S$718,2,0),"")</f>
        <v>Inženýrské stavitelství</v>
      </c>
      <c r="U54">
        <f>IF(ISNUMBER(SEARCH('1Př1'!$A$33,N54)),MAX($M$2:M53)+1,0)</f>
        <v>52</v>
      </c>
      <c r="V54" s="287" t="s">
        <v>930</v>
      </c>
      <c r="W54" t="str">
        <f>IFERROR(VLOOKUP(ROWS($W$3:W54),$U$3:$V$718,2,0),"")</f>
        <v>Inženýrské stavitelství</v>
      </c>
      <c r="X54">
        <f>IF(ISNUMBER(SEARCH('1Př1'!$A$34,N54)),MAX($M$2:M53)+1,0)</f>
        <v>52</v>
      </c>
      <c r="Y54" s="287" t="s">
        <v>930</v>
      </c>
      <c r="Z54" t="str">
        <f>IFERROR(VLOOKUP(ROWS($Z$3:Z54),$X$3:$Y$718,2,0),"")</f>
        <v>Inženýrské stavitelství</v>
      </c>
    </row>
    <row r="55" spans="1:26" ht="12.75" customHeight="1">
      <c r="A55" s="263"/>
      <c r="B55" s="263"/>
      <c r="C55" s="263"/>
      <c r="D55" s="279">
        <f>IF(ISNUMBER(SEARCH(ZAKL_DATA!$B$14,E55)),MAX($D$2:D54)+1,0)</f>
        <v>53</v>
      </c>
      <c r="E55" s="291" t="s">
        <v>931</v>
      </c>
      <c r="F55" s="292">
        <v>2215</v>
      </c>
      <c r="G55" s="293"/>
      <c r="H55" s="294" t="str">
        <f>IFERROR(VLOOKUP(ROWS($H$3:H55),$D$3:$E$204,2,0),"")</f>
        <v>TÝN NAD VLTAVOU</v>
      </c>
      <c r="I55" s="263"/>
      <c r="J55" s="296" t="s">
        <v>932</v>
      </c>
      <c r="K55" s="285" t="s">
        <v>933</v>
      </c>
      <c r="M55" s="286">
        <f>IF(ISNUMBER(SEARCH(ZAKL_DATA!$B$29,N55)),MAX($M$2:M54)+1,0)</f>
        <v>53</v>
      </c>
      <c r="N55" s="791" t="s">
        <v>2137</v>
      </c>
      <c r="O55" s="791" t="s">
        <v>3211</v>
      </c>
      <c r="Q55" s="288" t="str">
        <f>IFERROR(VLOOKUP(ROWS($Q$3:Q55),$M$3:$N$718,2,0),"")</f>
        <v>Činnosti související s vodní dopravou</v>
      </c>
      <c r="R55">
        <f>IF(ISNUMBER(SEARCH('1Př1'!$A$32,N55)),MAX($M$2:M54)+1,0)</f>
        <v>53</v>
      </c>
      <c r="S55" s="287" t="s">
        <v>934</v>
      </c>
      <c r="T55" t="str">
        <f>IFERROR(VLOOKUP(ROWS($T$3:T55),$R$3:$S$718,2,0),"")</f>
        <v>Specializované stavební činnosti</v>
      </c>
      <c r="U55">
        <f>IF(ISNUMBER(SEARCH('1Př1'!$A$33,N55)),MAX($M$2:M54)+1,0)</f>
        <v>53</v>
      </c>
      <c r="V55" s="287" t="s">
        <v>934</v>
      </c>
      <c r="W55" t="str">
        <f>IFERROR(VLOOKUP(ROWS($W$3:W55),$U$3:$V$718,2,0),"")</f>
        <v>Specializované stavební činnosti</v>
      </c>
      <c r="X55">
        <f>IF(ISNUMBER(SEARCH('1Př1'!$A$34,N55)),MAX($M$2:M54)+1,0)</f>
        <v>53</v>
      </c>
      <c r="Y55" s="287" t="s">
        <v>934</v>
      </c>
      <c r="Z55" t="str">
        <f>IFERROR(VLOOKUP(ROWS($Z$3:Z55),$X$3:$Y$718,2,0),"")</f>
        <v>Specializované stavební činnosti</v>
      </c>
    </row>
    <row r="56" spans="1:26" ht="12.75" customHeight="1">
      <c r="A56" s="263"/>
      <c r="B56" s="263"/>
      <c r="C56" s="263"/>
      <c r="D56" s="279">
        <f>IF(ISNUMBER(SEARCH(ZAKL_DATA!$B$14,E56)),MAX($D$2:D55)+1,0)</f>
        <v>54</v>
      </c>
      <c r="E56" s="291" t="s">
        <v>935</v>
      </c>
      <c r="F56" s="292">
        <v>2216</v>
      </c>
      <c r="G56" s="293"/>
      <c r="H56" s="294" t="str">
        <f>IFERROR(VLOOKUP(ROWS($H$3:H56),$D$3:$E$204,2,0),"")</f>
        <v>VIMPERK</v>
      </c>
      <c r="I56" s="263"/>
      <c r="J56" s="296" t="s">
        <v>936</v>
      </c>
      <c r="K56" s="285" t="s">
        <v>937</v>
      </c>
      <c r="M56" s="286">
        <f>IF(ISNUMBER(SEARCH(ZAKL_DATA!$B$29,N56)),MAX($M$2:M55)+1,0)</f>
        <v>54</v>
      </c>
      <c r="N56" s="791" t="s">
        <v>2184</v>
      </c>
      <c r="O56" s="791" t="s">
        <v>3212</v>
      </c>
      <c r="Q56" s="288" t="str">
        <f>IFERROR(VLOOKUP(ROWS($Q$3:Q56),$M$3:$N$718,2,0),"")</f>
        <v>Činnosti sportovních klubů</v>
      </c>
      <c r="R56">
        <f>IF(ISNUMBER(SEARCH('1Př1'!$A$32,N56)),MAX($M$2:M55)+1,0)</f>
        <v>54</v>
      </c>
      <c r="S56" s="287" t="s">
        <v>938</v>
      </c>
      <c r="T56" t="str">
        <f>IFERROR(VLOOKUP(ROWS($T$3:T56),$R$3:$S$718,2,0),"")</f>
        <v>Velkoobchod, maloobchod a opravy motorových vozidel</v>
      </c>
      <c r="U56">
        <f>IF(ISNUMBER(SEARCH('1Př1'!$A$33,N56)),MAX($M$2:M55)+1,0)</f>
        <v>54</v>
      </c>
      <c r="V56" s="287" t="s">
        <v>938</v>
      </c>
      <c r="W56" t="str">
        <f>IFERROR(VLOOKUP(ROWS($W$3:W56),$U$3:$V$718,2,0),"")</f>
        <v>Velkoobchod, maloobchod a opravy motorových vozidel</v>
      </c>
      <c r="X56">
        <f>IF(ISNUMBER(SEARCH('1Př1'!$A$34,N56)),MAX($M$2:M55)+1,0)</f>
        <v>54</v>
      </c>
      <c r="Y56" s="287" t="s">
        <v>938</v>
      </c>
      <c r="Z56" t="str">
        <f>IFERROR(VLOOKUP(ROWS($Z$3:Z56),$X$3:$Y$718,2,0),"")</f>
        <v>Velkoobchod, maloobchod a opravy motorových vozidel</v>
      </c>
    </row>
    <row r="57" spans="1:26" ht="12.75" customHeight="1">
      <c r="A57" s="263"/>
      <c r="B57" s="263"/>
      <c r="C57" s="263"/>
      <c r="D57" s="279">
        <f>IF(ISNUMBER(SEARCH(ZAKL_DATA!$B$14,E57)),MAX($D$2:D56)+1,0)</f>
        <v>55</v>
      </c>
      <c r="E57" s="291" t="s">
        <v>939</v>
      </c>
      <c r="F57" s="292">
        <v>2217</v>
      </c>
      <c r="G57" s="293"/>
      <c r="H57" s="294" t="str">
        <f>IFERROR(VLOOKUP(ROWS($H$3:H57),$D$3:$E$204,2,0),"")</f>
        <v>VODŇANY</v>
      </c>
      <c r="I57" s="263"/>
      <c r="J57" s="296" t="s">
        <v>940</v>
      </c>
      <c r="K57" s="285" t="s">
        <v>941</v>
      </c>
      <c r="M57" s="286">
        <f>IF(ISNUMBER(SEARCH(ZAKL_DATA!$B$29,N57)),MAX($M$2:M56)+1,0)</f>
        <v>55</v>
      </c>
      <c r="N57" s="791" t="s">
        <v>2210</v>
      </c>
      <c r="O57" s="791" t="s">
        <v>3213</v>
      </c>
      <c r="Q57" s="288" t="str">
        <f>IFERROR(VLOOKUP(ROWS($Q$3:Q57),$M$3:$N$718,2,0),"")</f>
        <v>Činnosti spotřebitelských organizací</v>
      </c>
      <c r="R57">
        <f>IF(ISNUMBER(SEARCH('1Př1'!$A$32,N57)),MAX($M$2:M56)+1,0)</f>
        <v>55</v>
      </c>
      <c r="S57" s="287" t="s">
        <v>942</v>
      </c>
      <c r="T57" t="str">
        <f>IFERROR(VLOOKUP(ROWS($T$3:T57),$R$3:$S$718,2,0),"")</f>
        <v>Velkoobchod, kromě motorových vozidel</v>
      </c>
      <c r="U57">
        <f>IF(ISNUMBER(SEARCH('1Př1'!$A$33,N57)),MAX($M$2:M56)+1,0)</f>
        <v>55</v>
      </c>
      <c r="V57" s="287" t="s">
        <v>942</v>
      </c>
      <c r="W57" t="str">
        <f>IFERROR(VLOOKUP(ROWS($W$3:W57),$U$3:$V$718,2,0),"")</f>
        <v>Velkoobchod, kromě motorových vozidel</v>
      </c>
      <c r="X57">
        <f>IF(ISNUMBER(SEARCH('1Př1'!$A$34,N57)),MAX($M$2:M56)+1,0)</f>
        <v>55</v>
      </c>
      <c r="Y57" s="287" t="s">
        <v>942</v>
      </c>
      <c r="Z57" t="str">
        <f>IFERROR(VLOOKUP(ROWS($Z$3:Z57),$X$3:$Y$718,2,0),"")</f>
        <v>Velkoobchod, kromě motorových vozidel</v>
      </c>
    </row>
    <row r="58" spans="1:26" ht="12.75" customHeight="1">
      <c r="A58" s="263"/>
      <c r="B58" s="263"/>
      <c r="C58" s="263"/>
      <c r="D58" s="279">
        <f>IF(ISNUMBER(SEARCH(ZAKL_DATA!$B$14,E58)),MAX($D$2:D57)+1,0)</f>
        <v>56</v>
      </c>
      <c r="E58" s="291" t="s">
        <v>943</v>
      </c>
      <c r="F58" s="292">
        <v>2301</v>
      </c>
      <c r="G58" s="293"/>
      <c r="H58" s="294" t="str">
        <f>IFERROR(VLOOKUP(ROWS($H$3:H58),$D$3:$E$204,2,0),"")</f>
        <v>PLZEŇ</v>
      </c>
      <c r="I58" s="263"/>
      <c r="J58" s="296" t="s">
        <v>944</v>
      </c>
      <c r="K58" s="285" t="s">
        <v>945</v>
      </c>
      <c r="M58" s="286">
        <f>IF(ISNUMBER(SEARCH(ZAKL_DATA!$B$29,N58)),MAX($M$2:M57)+1,0)</f>
        <v>56</v>
      </c>
      <c r="N58" s="791" t="s">
        <v>3214</v>
      </c>
      <c r="O58" s="791" t="s">
        <v>3215</v>
      </c>
      <c r="Q58" s="288" t="str">
        <f>IFERROR(VLOOKUP(ROWS($Q$3:Q58),$M$3:$N$718,2,0),"")</f>
        <v>Činnosti svěřenských fondů, majetkových a agenturních účtů</v>
      </c>
      <c r="R58">
        <f>IF(ISNUMBER(SEARCH('1Př1'!$A$32,N58)),MAX($M$2:M57)+1,0)</f>
        <v>56</v>
      </c>
      <c r="S58" s="287" t="s">
        <v>946</v>
      </c>
      <c r="T58" t="str">
        <f>IFERROR(VLOOKUP(ROWS($T$3:T58),$R$3:$S$718,2,0),"")</f>
        <v>Maloobchod, kromě motorových vozidel</v>
      </c>
      <c r="U58">
        <f>IF(ISNUMBER(SEARCH('1Př1'!$A$33,N58)),MAX($M$2:M57)+1,0)</f>
        <v>56</v>
      </c>
      <c r="V58" s="287" t="s">
        <v>946</v>
      </c>
      <c r="W58" t="str">
        <f>IFERROR(VLOOKUP(ROWS($W$3:W58),$U$3:$V$718,2,0),"")</f>
        <v>Maloobchod, kromě motorových vozidel</v>
      </c>
      <c r="X58">
        <f>IF(ISNUMBER(SEARCH('1Př1'!$A$34,N58)),MAX($M$2:M57)+1,0)</f>
        <v>56</v>
      </c>
      <c r="Y58" s="287" t="s">
        <v>946</v>
      </c>
      <c r="Z58" t="str">
        <f>IFERROR(VLOOKUP(ROWS($Z$3:Z58),$X$3:$Y$718,2,0),"")</f>
        <v>Maloobchod, kromě motorových vozidel</v>
      </c>
    </row>
    <row r="59" spans="1:26" ht="12.75" customHeight="1">
      <c r="A59" s="263"/>
      <c r="B59" s="263"/>
      <c r="C59" s="263"/>
      <c r="D59" s="279">
        <f>IF(ISNUMBER(SEARCH(ZAKL_DATA!$B$14,E59)),MAX($D$2:D58)+1,0)</f>
        <v>57</v>
      </c>
      <c r="E59" s="291" t="s">
        <v>947</v>
      </c>
      <c r="F59" s="292">
        <v>2302</v>
      </c>
      <c r="G59" s="293"/>
      <c r="H59" s="294" t="str">
        <f>IFERROR(VLOOKUP(ROWS($H$3:H59),$D$3:$E$204,2,0),"")</f>
        <v>PLZEŇ-SEVER</v>
      </c>
      <c r="I59" s="263"/>
      <c r="J59" s="295" t="s">
        <v>948</v>
      </c>
      <c r="K59" s="285" t="s">
        <v>949</v>
      </c>
      <c r="M59" s="286">
        <f>IF(ISNUMBER(SEARCH(ZAKL_DATA!$B$29,N59)),MAX($M$2:M58)+1,0)</f>
        <v>57</v>
      </c>
      <c r="N59" s="791" t="s">
        <v>3216</v>
      </c>
      <c r="O59" s="791" t="s">
        <v>3217</v>
      </c>
      <c r="Q59" s="288" t="str">
        <f>IFERROR(VLOOKUP(ROWS($Q$3:Q59),$M$3:$N$718,2,0),"")</f>
        <v>Činnosti účelových finančních společností</v>
      </c>
      <c r="R59">
        <f>IF(ISNUMBER(SEARCH('1Př1'!$A$32,N59)),MAX($M$2:M58)+1,0)</f>
        <v>57</v>
      </c>
      <c r="S59" s="287" t="s">
        <v>950</v>
      </c>
      <c r="T59" t="str">
        <f>IFERROR(VLOOKUP(ROWS($T$3:T59),$R$3:$S$718,2,0),"")</f>
        <v>Pozemní a potrubní doprava</v>
      </c>
      <c r="U59">
        <f>IF(ISNUMBER(SEARCH('1Př1'!$A$33,N59)),MAX($M$2:M58)+1,0)</f>
        <v>57</v>
      </c>
      <c r="V59" s="287" t="s">
        <v>950</v>
      </c>
      <c r="W59" t="str">
        <f>IFERROR(VLOOKUP(ROWS($W$3:W59),$U$3:$V$718,2,0),"")</f>
        <v>Pozemní a potrubní doprava</v>
      </c>
      <c r="X59">
        <f>IF(ISNUMBER(SEARCH('1Př1'!$A$34,N59)),MAX($M$2:M58)+1,0)</f>
        <v>57</v>
      </c>
      <c r="Y59" s="287" t="s">
        <v>950</v>
      </c>
      <c r="Z59" t="str">
        <f>IFERROR(VLOOKUP(ROWS($Z$3:Z59),$X$3:$Y$718,2,0),"")</f>
        <v>Pozemní a potrubní doprava</v>
      </c>
    </row>
    <row r="60" spans="1:26" ht="12.75" customHeight="1">
      <c r="A60" s="263"/>
      <c r="B60" s="263"/>
      <c r="C60" s="263"/>
      <c r="D60" s="279">
        <f>IF(ISNUMBER(SEARCH(ZAKL_DATA!$B$14,E60)),MAX($D$2:D59)+1,0)</f>
        <v>58</v>
      </c>
      <c r="E60" s="291" t="s">
        <v>951</v>
      </c>
      <c r="F60" s="292">
        <v>2303</v>
      </c>
      <c r="G60" s="293"/>
      <c r="H60" s="294" t="str">
        <f>IFERROR(VLOOKUP(ROWS($H$3:H60),$D$3:$E$204,2,0),"")</f>
        <v>PLZEŇ-JIH</v>
      </c>
      <c r="I60" s="263"/>
      <c r="J60" s="296" t="s">
        <v>952</v>
      </c>
      <c r="K60" s="285" t="s">
        <v>953</v>
      </c>
      <c r="M60" s="286">
        <f>IF(ISNUMBER(SEARCH(ZAKL_DATA!$B$29,N60)),MAX($M$2:M59)+1,0)</f>
        <v>58</v>
      </c>
      <c r="N60" s="791" t="s">
        <v>3218</v>
      </c>
      <c r="O60" s="791" t="s">
        <v>3219</v>
      </c>
      <c r="Q60" s="288" t="str">
        <f>IFERROR(VLOOKUP(ROWS($Q$3:Q60),$M$3:$N$718,2,0),"")</f>
        <v>Činnosti v oblasti grafického designu a vizuální komunikace</v>
      </c>
      <c r="R60">
        <f>IF(ISNUMBER(SEARCH('1Př1'!$A$32,N60)),MAX($M$2:M59)+1,0)</f>
        <v>58</v>
      </c>
      <c r="S60" s="287" t="s">
        <v>954</v>
      </c>
      <c r="T60" t="str">
        <f>IFERROR(VLOOKUP(ROWS($T$3:T60),$R$3:$S$718,2,0),"")</f>
        <v>Vodní doprava</v>
      </c>
      <c r="U60">
        <f>IF(ISNUMBER(SEARCH('1Př1'!$A$33,N60)),MAX($M$2:M59)+1,0)</f>
        <v>58</v>
      </c>
      <c r="V60" s="287" t="s">
        <v>954</v>
      </c>
      <c r="W60" t="str">
        <f>IFERROR(VLOOKUP(ROWS($W$3:W60),$U$3:$V$718,2,0),"")</f>
        <v>Vodní doprava</v>
      </c>
      <c r="X60">
        <f>IF(ISNUMBER(SEARCH('1Př1'!$A$34,N60)),MAX($M$2:M59)+1,0)</f>
        <v>58</v>
      </c>
      <c r="Y60" s="287" t="s">
        <v>954</v>
      </c>
      <c r="Z60" t="str">
        <f>IFERROR(VLOOKUP(ROWS($Z$3:Z60),$X$3:$Y$718,2,0),"")</f>
        <v>Vodní doprava</v>
      </c>
    </row>
    <row r="61" spans="1:26" ht="12.75" customHeight="1">
      <c r="A61" s="263"/>
      <c r="B61" s="263"/>
      <c r="C61" s="263"/>
      <c r="D61" s="279">
        <f>IF(ISNUMBER(SEARCH(ZAKL_DATA!$B$14,E61)),MAX($D$2:D60)+1,0)</f>
        <v>59</v>
      </c>
      <c r="E61" s="291" t="s">
        <v>955</v>
      </c>
      <c r="F61" s="292">
        <v>2304</v>
      </c>
      <c r="G61" s="293"/>
      <c r="H61" s="294" t="str">
        <f>IFERROR(VLOOKUP(ROWS($H$3:H61),$D$3:$E$204,2,0),"")</f>
        <v>BLOVICE</v>
      </c>
      <c r="I61" s="263"/>
      <c r="J61" s="296" t="s">
        <v>956</v>
      </c>
      <c r="K61" s="285" t="s">
        <v>957</v>
      </c>
      <c r="M61" s="286">
        <f>IF(ISNUMBER(SEARCH(ZAKL_DATA!$B$29,N61)),MAX($M$2:M60)+1,0)</f>
        <v>59</v>
      </c>
      <c r="N61" s="791" t="s">
        <v>3220</v>
      </c>
      <c r="O61" s="791" t="s">
        <v>3221</v>
      </c>
      <c r="Q61" s="288" t="str">
        <f>IFERROR(VLOOKUP(ROWS($Q$3:Q61),$M$3:$N$718,2,0),"")</f>
        <v>Činnosti v oblasti módního designu</v>
      </c>
      <c r="R61">
        <f>IF(ISNUMBER(SEARCH('1Př1'!$A$32,N61)),MAX($M$2:M60)+1,0)</f>
        <v>59</v>
      </c>
      <c r="S61" s="287" t="s">
        <v>958</v>
      </c>
      <c r="T61" t="str">
        <f>IFERROR(VLOOKUP(ROWS($T$3:T61),$R$3:$S$718,2,0),"")</f>
        <v>Letecká doprava</v>
      </c>
      <c r="U61">
        <f>IF(ISNUMBER(SEARCH('1Př1'!$A$33,N61)),MAX($M$2:M60)+1,0)</f>
        <v>59</v>
      </c>
      <c r="V61" s="287" t="s">
        <v>958</v>
      </c>
      <c r="W61" t="str">
        <f>IFERROR(VLOOKUP(ROWS($W$3:W61),$U$3:$V$718,2,0),"")</f>
        <v>Letecká doprava</v>
      </c>
      <c r="X61">
        <f>IF(ISNUMBER(SEARCH('1Př1'!$A$34,N61)),MAX($M$2:M60)+1,0)</f>
        <v>59</v>
      </c>
      <c r="Y61" s="287" t="s">
        <v>958</v>
      </c>
      <c r="Z61" t="str">
        <f>IFERROR(VLOOKUP(ROWS($Z$3:Z61),$X$3:$Y$718,2,0),"")</f>
        <v>Letecká doprava</v>
      </c>
    </row>
    <row r="62" spans="1:26" ht="12.75" customHeight="1">
      <c r="A62" s="263"/>
      <c r="B62" s="263"/>
      <c r="C62" s="263"/>
      <c r="D62" s="279">
        <f>IF(ISNUMBER(SEARCH(ZAKL_DATA!$B$14,E62)),MAX($D$2:D61)+1,0)</f>
        <v>60</v>
      </c>
      <c r="E62" s="291" t="s">
        <v>959</v>
      </c>
      <c r="F62" s="292">
        <v>2305</v>
      </c>
      <c r="G62" s="293"/>
      <c r="H62" s="294" t="str">
        <f>IFERROR(VLOOKUP(ROWS($H$3:H62),$D$3:$E$204,2,0),"")</f>
        <v>DOMAŽLICE</v>
      </c>
      <c r="I62" s="263"/>
      <c r="J62" s="296" t="s">
        <v>960</v>
      </c>
      <c r="K62" s="285" t="s">
        <v>961</v>
      </c>
      <c r="M62" s="286">
        <f>IF(ISNUMBER(SEARCH(ZAKL_DATA!$B$29,N62)),MAX($M$2:M61)+1,0)</f>
        <v>60</v>
      </c>
      <c r="N62" s="791" t="s">
        <v>3222</v>
      </c>
      <c r="O62" s="791" t="s">
        <v>3223</v>
      </c>
      <c r="Q62" s="288" t="str">
        <f>IFERROR(VLOOKUP(ROWS($Q$3:Q62),$M$3:$N$718,2,0),"")</f>
        <v>Činnosti v oblasti neživotního pojištění</v>
      </c>
      <c r="R62">
        <f>IF(ISNUMBER(SEARCH('1Př1'!$A$32,N62)),MAX($M$2:M61)+1,0)</f>
        <v>60</v>
      </c>
      <c r="S62" s="287" t="s">
        <v>962</v>
      </c>
      <c r="T62" t="str">
        <f>IFERROR(VLOOKUP(ROWS($T$3:T62),$R$3:$S$718,2,0),"")</f>
        <v>Těžba a úprava černého uhlí</v>
      </c>
      <c r="U62">
        <f>IF(ISNUMBER(SEARCH('1Př1'!$A$33,N62)),MAX($M$2:M61)+1,0)</f>
        <v>60</v>
      </c>
      <c r="V62" s="287" t="s">
        <v>962</v>
      </c>
      <c r="W62" t="str">
        <f>IFERROR(VLOOKUP(ROWS($W$3:W62),$U$3:$V$718,2,0),"")</f>
        <v>Těžba a úprava černého uhlí</v>
      </c>
      <c r="X62">
        <f>IF(ISNUMBER(SEARCH('1Př1'!$A$34,N62)),MAX($M$2:M61)+1,0)</f>
        <v>60</v>
      </c>
      <c r="Y62" s="287" t="s">
        <v>962</v>
      </c>
      <c r="Z62" t="str">
        <f>IFERROR(VLOOKUP(ROWS($Z$3:Z62),$X$3:$Y$718,2,0),"")</f>
        <v>Těžba a úprava černého uhlí</v>
      </c>
    </row>
    <row r="63" spans="1:26" ht="12.75" customHeight="1">
      <c r="A63" s="263"/>
      <c r="B63" s="263"/>
      <c r="C63" s="263"/>
      <c r="D63" s="279">
        <f>IF(ISNUMBER(SEARCH(ZAKL_DATA!$B$14,E63)),MAX($D$2:D62)+1,0)</f>
        <v>61</v>
      </c>
      <c r="E63" s="291" t="s">
        <v>963</v>
      </c>
      <c r="F63" s="292">
        <v>2306</v>
      </c>
      <c r="G63" s="293"/>
      <c r="H63" s="294" t="str">
        <f>IFERROR(VLOOKUP(ROWS($H$3:H63),$D$3:$E$204,2,0),"")</f>
        <v>HORAŽĎOVICE</v>
      </c>
      <c r="I63" s="263"/>
      <c r="J63" s="296" t="s">
        <v>964</v>
      </c>
      <c r="K63" s="285" t="s">
        <v>965</v>
      </c>
      <c r="M63" s="286">
        <f>IF(ISNUMBER(SEARCH(ZAKL_DATA!$B$29,N63)),MAX($M$2:M62)+1,0)</f>
        <v>61</v>
      </c>
      <c r="N63" s="791" t="s">
        <v>2174</v>
      </c>
      <c r="O63" s="791" t="s">
        <v>3224</v>
      </c>
      <c r="Q63" s="288" t="str">
        <f>IFERROR(VLOOKUP(ROWS($Q$3:Q63),$M$3:$N$718,2,0),"")</f>
        <v>Činnosti v oblasti obrany</v>
      </c>
      <c r="R63">
        <f>IF(ISNUMBER(SEARCH('1Př1'!$A$32,N63)),MAX($M$2:M62)+1,0)</f>
        <v>61</v>
      </c>
      <c r="S63" s="287" t="s">
        <v>966</v>
      </c>
      <c r="T63" t="str">
        <f>IFERROR(VLOOKUP(ROWS($T$3:T63),$R$3:$S$718,2,0),"")</f>
        <v>Skladování a vedlejší činnosti v dopravě</v>
      </c>
      <c r="U63">
        <f>IF(ISNUMBER(SEARCH('1Př1'!$A$33,N63)),MAX($M$2:M62)+1,0)</f>
        <v>61</v>
      </c>
      <c r="V63" s="287" t="s">
        <v>966</v>
      </c>
      <c r="W63" t="str">
        <f>IFERROR(VLOOKUP(ROWS($W$3:W63),$U$3:$V$718,2,0),"")</f>
        <v>Skladování a vedlejší činnosti v dopravě</v>
      </c>
      <c r="X63">
        <f>IF(ISNUMBER(SEARCH('1Př1'!$A$34,N63)),MAX($M$2:M62)+1,0)</f>
        <v>61</v>
      </c>
      <c r="Y63" s="287" t="s">
        <v>966</v>
      </c>
      <c r="Z63" t="str">
        <f>IFERROR(VLOOKUP(ROWS($Z$3:Z63),$X$3:$Y$718,2,0),"")</f>
        <v>Skladování a vedlejší činnosti v dopravě</v>
      </c>
    </row>
    <row r="64" spans="1:26" ht="12.75" customHeight="1">
      <c r="A64" s="263"/>
      <c r="B64" s="263"/>
      <c r="C64" s="263"/>
      <c r="D64" s="279">
        <f>IF(ISNUMBER(SEARCH(ZAKL_DATA!$B$14,E64)),MAX($D$2:D63)+1,0)</f>
        <v>62</v>
      </c>
      <c r="E64" s="291" t="s">
        <v>967</v>
      </c>
      <c r="F64" s="292">
        <v>2307</v>
      </c>
      <c r="G64" s="293"/>
      <c r="H64" s="294" t="str">
        <f>IFERROR(VLOOKUP(ROWS($H$3:H64),$D$3:$E$204,2,0),"")</f>
        <v>HORŠOVSKÝ TÝN</v>
      </c>
      <c r="I64" s="263"/>
      <c r="J64" s="296" t="s">
        <v>968</v>
      </c>
      <c r="K64" s="285" t="s">
        <v>969</v>
      </c>
      <c r="M64" s="286">
        <f>IF(ISNUMBER(SEARCH(ZAKL_DATA!$B$29,N64)),MAX($M$2:M63)+1,0)</f>
        <v>62</v>
      </c>
      <c r="N64" s="791" t="s">
        <v>3225</v>
      </c>
      <c r="O64" s="791" t="s">
        <v>3226</v>
      </c>
      <c r="Q64" s="288" t="str">
        <f>IFERROR(VLOOKUP(ROWS($Q$3:Q64),$M$3:$N$718,2,0),"")</f>
        <v>Činnosti v oblasti povinného sociální zabezpečení</v>
      </c>
      <c r="R64">
        <f>IF(ISNUMBER(SEARCH('1Př1'!$A$32,N64)),MAX($M$2:M63)+1,0)</f>
        <v>62</v>
      </c>
      <c r="S64" s="287" t="s">
        <v>970</v>
      </c>
      <c r="T64" t="str">
        <f>IFERROR(VLOOKUP(ROWS($T$3:T64),$R$3:$S$718,2,0),"")</f>
        <v>Těžba a úprava hnědého uhlí</v>
      </c>
      <c r="U64">
        <f>IF(ISNUMBER(SEARCH('1Př1'!$A$33,N64)),MAX($M$2:M63)+1,0)</f>
        <v>62</v>
      </c>
      <c r="V64" s="287" t="s">
        <v>970</v>
      </c>
      <c r="W64" t="str">
        <f>IFERROR(VLOOKUP(ROWS($W$3:W64),$U$3:$V$718,2,0),"")</f>
        <v>Těžba a úprava hnědého uhlí</v>
      </c>
      <c r="X64">
        <f>IF(ISNUMBER(SEARCH('1Př1'!$A$34,N64)),MAX($M$2:M63)+1,0)</f>
        <v>62</v>
      </c>
      <c r="Y64" s="287" t="s">
        <v>970</v>
      </c>
      <c r="Z64" t="str">
        <f>IFERROR(VLOOKUP(ROWS($Z$3:Z64),$X$3:$Y$718,2,0),"")</f>
        <v>Těžba a úprava hnědého uhlí</v>
      </c>
    </row>
    <row r="65" spans="1:26" ht="12.75" customHeight="1">
      <c r="A65" s="263"/>
      <c r="B65" s="263"/>
      <c r="C65" s="263"/>
      <c r="D65" s="279">
        <f>IF(ISNUMBER(SEARCH(ZAKL_DATA!$B$14,E65)),MAX($D$2:D64)+1,0)</f>
        <v>63</v>
      </c>
      <c r="E65" s="291" t="s">
        <v>971</v>
      </c>
      <c r="F65" s="292">
        <v>2308</v>
      </c>
      <c r="G65" s="293"/>
      <c r="H65" s="294" t="str">
        <f>IFERROR(VLOOKUP(ROWS($H$3:H65),$D$3:$E$204,2,0),"")</f>
        <v>KLATOVY</v>
      </c>
      <c r="I65" s="263"/>
      <c r="J65" s="296" t="s">
        <v>972</v>
      </c>
      <c r="K65" s="285" t="s">
        <v>707</v>
      </c>
      <c r="M65" s="286">
        <f>IF(ISNUMBER(SEARCH(ZAKL_DATA!$B$29,N65)),MAX($M$2:M64)+1,0)</f>
        <v>63</v>
      </c>
      <c r="N65" s="791" t="s">
        <v>3227</v>
      </c>
      <c r="O65" s="791" t="s">
        <v>3228</v>
      </c>
      <c r="Q65" s="288" t="str">
        <f>IFERROR(VLOOKUP(ROWS($Q$3:Q65),$M$3:$N$718,2,0),"")</f>
        <v>Činnosti v oblasti požární ochrany</v>
      </c>
      <c r="R65">
        <f>IF(ISNUMBER(SEARCH('1Př1'!$A$32,N65)),MAX($M$2:M64)+1,0)</f>
        <v>63</v>
      </c>
      <c r="S65" s="287" t="s">
        <v>973</v>
      </c>
      <c r="T65" t="str">
        <f>IFERROR(VLOOKUP(ROWS($T$3:T65),$R$3:$S$718,2,0),"")</f>
        <v>Poštovní a kurýrní činnosti</v>
      </c>
      <c r="U65">
        <f>IF(ISNUMBER(SEARCH('1Př1'!$A$33,N65)),MAX($M$2:M64)+1,0)</f>
        <v>63</v>
      </c>
      <c r="V65" s="287" t="s">
        <v>973</v>
      </c>
      <c r="W65" t="str">
        <f>IFERROR(VLOOKUP(ROWS($W$3:W65),$U$3:$V$718,2,0),"")</f>
        <v>Poštovní a kurýrní činnosti</v>
      </c>
      <c r="X65">
        <f>IF(ISNUMBER(SEARCH('1Př1'!$A$34,N65)),MAX($M$2:M64)+1,0)</f>
        <v>63</v>
      </c>
      <c r="Y65" s="287" t="s">
        <v>973</v>
      </c>
      <c r="Z65" t="str">
        <f>IFERROR(VLOOKUP(ROWS($Z$3:Z65),$X$3:$Y$718,2,0),"")</f>
        <v>Poštovní a kurýrní činnosti</v>
      </c>
    </row>
    <row r="66" spans="1:26" ht="12.75" customHeight="1">
      <c r="A66" s="263"/>
      <c r="B66" s="263"/>
      <c r="C66" s="263"/>
      <c r="D66" s="279">
        <f>IF(ISNUMBER(SEARCH(ZAKL_DATA!$B$14,E66)),MAX($D$2:D65)+1,0)</f>
        <v>64</v>
      </c>
      <c r="E66" s="291" t="s">
        <v>974</v>
      </c>
      <c r="F66" s="292">
        <v>2309</v>
      </c>
      <c r="G66" s="293"/>
      <c r="H66" s="294" t="str">
        <f>IFERROR(VLOOKUP(ROWS($H$3:H66),$D$3:$E$204,2,0),"")</f>
        <v>KRALOVICE</v>
      </c>
      <c r="I66" s="263"/>
      <c r="J66" s="296" t="s">
        <v>975</v>
      </c>
      <c r="K66" s="285" t="s">
        <v>976</v>
      </c>
      <c r="M66" s="286">
        <f>IF(ISNUMBER(SEARCH(ZAKL_DATA!$B$29,N66)),MAX($M$2:M65)+1,0)</f>
        <v>64</v>
      </c>
      <c r="N66" s="791" t="s">
        <v>3229</v>
      </c>
      <c r="O66" s="791" t="s">
        <v>3230</v>
      </c>
      <c r="Q66" s="288" t="str">
        <f>IFERROR(VLOOKUP(ROWS($Q$3:Q66),$M$3:$N$718,2,0),"")</f>
        <v>Činnosti v oblasti průmyslového designu</v>
      </c>
      <c r="R66">
        <f>IF(ISNUMBER(SEARCH('1Př1'!$A$32,N66)),MAX($M$2:M65)+1,0)</f>
        <v>64</v>
      </c>
      <c r="S66" s="287" t="s">
        <v>977</v>
      </c>
      <c r="T66" t="str">
        <f>IFERROR(VLOOKUP(ROWS($T$3:T66),$R$3:$S$718,2,0),"")</f>
        <v>Ubytování</v>
      </c>
      <c r="U66">
        <f>IF(ISNUMBER(SEARCH('1Př1'!$A$33,N66)),MAX($M$2:M65)+1,0)</f>
        <v>64</v>
      </c>
      <c r="V66" s="287" t="s">
        <v>977</v>
      </c>
      <c r="W66" t="str">
        <f>IFERROR(VLOOKUP(ROWS($W$3:W66),$U$3:$V$718,2,0),"")</f>
        <v>Ubytování</v>
      </c>
      <c r="X66">
        <f>IF(ISNUMBER(SEARCH('1Př1'!$A$34,N66)),MAX($M$2:M65)+1,0)</f>
        <v>64</v>
      </c>
      <c r="Y66" s="287" t="s">
        <v>977</v>
      </c>
      <c r="Z66" t="str">
        <f>IFERROR(VLOOKUP(ROWS($Z$3:Z66),$X$3:$Y$718,2,0),"")</f>
        <v>Ubytování</v>
      </c>
    </row>
    <row r="67" spans="1:26" ht="12.75" customHeight="1">
      <c r="A67" s="263"/>
      <c r="B67" s="263"/>
      <c r="C67" s="263"/>
      <c r="D67" s="279">
        <f>IF(ISNUMBER(SEARCH(ZAKL_DATA!$B$14,E67)),MAX($D$2:D66)+1,0)</f>
        <v>65</v>
      </c>
      <c r="E67" s="291" t="s">
        <v>978</v>
      </c>
      <c r="F67" s="292">
        <v>2310</v>
      </c>
      <c r="G67" s="293"/>
      <c r="H67" s="294" t="str">
        <f>IFERROR(VLOOKUP(ROWS($H$3:H67),$D$3:$E$204,2,0),"")</f>
        <v>NEPOMUK</v>
      </c>
      <c r="I67" s="263"/>
      <c r="J67" s="296" t="s">
        <v>979</v>
      </c>
      <c r="K67" s="285" t="s">
        <v>980</v>
      </c>
      <c r="M67" s="286">
        <f>IF(ISNUMBER(SEARCH(ZAKL_DATA!$B$29,N67)),MAX($M$2:M66)+1,0)</f>
        <v>65</v>
      </c>
      <c r="N67" s="791" t="s">
        <v>3231</v>
      </c>
      <c r="O67" s="791" t="s">
        <v>3232</v>
      </c>
      <c r="Q67" s="288" t="str">
        <f>IFERROR(VLOOKUP(ROWS($Q$3:Q67),$M$3:$N$718,2,0),"")</f>
        <v>Činnosti v oblasti přeprodeje telekomunikačních služeb a zprostředkování telekomunikačních činností</v>
      </c>
      <c r="R67">
        <f>IF(ISNUMBER(SEARCH('1Př1'!$A$32,N67)),MAX($M$2:M66)+1,0)</f>
        <v>65</v>
      </c>
      <c r="S67" s="287" t="s">
        <v>981</v>
      </c>
      <c r="T67" t="str">
        <f>IFERROR(VLOOKUP(ROWS($T$3:T67),$R$3:$S$718,2,0),"")</f>
        <v>Stravování a pohostinství</v>
      </c>
      <c r="U67">
        <f>IF(ISNUMBER(SEARCH('1Př1'!$A$33,N67)),MAX($M$2:M66)+1,0)</f>
        <v>65</v>
      </c>
      <c r="V67" s="287" t="s">
        <v>981</v>
      </c>
      <c r="W67" t="str">
        <f>IFERROR(VLOOKUP(ROWS($W$3:W67),$U$3:$V$718,2,0),"")</f>
        <v>Stravování a pohostinství</v>
      </c>
      <c r="X67">
        <f>IF(ISNUMBER(SEARCH('1Př1'!$A$34,N67)),MAX($M$2:M66)+1,0)</f>
        <v>65</v>
      </c>
      <c r="Y67" s="287" t="s">
        <v>981</v>
      </c>
      <c r="Z67" t="str">
        <f>IFERROR(VLOOKUP(ROWS($Z$3:Z67),$X$3:$Y$718,2,0),"")</f>
        <v>Stravování a pohostinství</v>
      </c>
    </row>
    <row r="68" spans="1:26" ht="12.75" customHeight="1">
      <c r="A68" s="263"/>
      <c r="B68" s="263"/>
      <c r="C68" s="263"/>
      <c r="D68" s="279">
        <f>IF(ISNUMBER(SEARCH(ZAKL_DATA!$B$14,E68)),MAX($D$2:D67)+1,0)</f>
        <v>66</v>
      </c>
      <c r="E68" s="291" t="s">
        <v>982</v>
      </c>
      <c r="F68" s="292">
        <v>2311</v>
      </c>
      <c r="G68" s="293"/>
      <c r="H68" s="294" t="str">
        <f>IFERROR(VLOOKUP(ROWS($H$3:H68),$D$3:$E$204,2,0),"")</f>
        <v>PŘEŠTICE</v>
      </c>
      <c r="I68" s="263"/>
      <c r="J68" s="296" t="s">
        <v>983</v>
      </c>
      <c r="K68" s="285" t="s">
        <v>984</v>
      </c>
      <c r="M68" s="286">
        <f>IF(ISNUMBER(SEARCH(ZAKL_DATA!$B$29,N68)),MAX($M$2:M67)+1,0)</f>
        <v>66</v>
      </c>
      <c r="N68" s="791" t="s">
        <v>3233</v>
      </c>
      <c r="O68" s="791" t="s">
        <v>3234</v>
      </c>
      <c r="Q68" s="288" t="str">
        <f>IFERROR(VLOOKUP(ROWS($Q$3:Q68),$M$3:$N$718,2,0),"")</f>
        <v>Činnosti v oblasti scénických umění</v>
      </c>
      <c r="R68">
        <f>IF(ISNUMBER(SEARCH('1Př1'!$A$32,N68)),MAX($M$2:M67)+1,0)</f>
        <v>66</v>
      </c>
      <c r="S68" s="287" t="s">
        <v>985</v>
      </c>
      <c r="T68" t="str">
        <f>IFERROR(VLOOKUP(ROWS($T$3:T68),$R$3:$S$718,2,0),"")</f>
        <v>Vydavatelské činnosti</v>
      </c>
      <c r="U68">
        <f>IF(ISNUMBER(SEARCH('1Př1'!$A$33,N68)),MAX($M$2:M67)+1,0)</f>
        <v>66</v>
      </c>
      <c r="V68" s="287" t="s">
        <v>985</v>
      </c>
      <c r="W68" t="str">
        <f>IFERROR(VLOOKUP(ROWS($W$3:W68),$U$3:$V$718,2,0),"")</f>
        <v>Vydavatelské činnosti</v>
      </c>
      <c r="X68">
        <f>IF(ISNUMBER(SEARCH('1Př1'!$A$34,N68)),MAX($M$2:M67)+1,0)</f>
        <v>66</v>
      </c>
      <c r="Y68" s="287" t="s">
        <v>985</v>
      </c>
      <c r="Z68" t="str">
        <f>IFERROR(VLOOKUP(ROWS($Z$3:Z68),$X$3:$Y$718,2,0),"")</f>
        <v>Vydavatelské činnosti</v>
      </c>
    </row>
    <row r="69" spans="1:26" ht="12.75" customHeight="1">
      <c r="A69" s="263"/>
      <c r="B69" s="263"/>
      <c r="C69" s="263"/>
      <c r="D69" s="279">
        <f>IF(ISNUMBER(SEARCH(ZAKL_DATA!$B$14,E69)),MAX($D$2:D68)+1,0)</f>
        <v>67</v>
      </c>
      <c r="E69" s="291" t="s">
        <v>986</v>
      </c>
      <c r="F69" s="292">
        <v>2312</v>
      </c>
      <c r="G69" s="293"/>
      <c r="H69" s="294" t="str">
        <f>IFERROR(VLOOKUP(ROWS($H$3:H69),$D$3:$E$204,2,0),"")</f>
        <v>ROKYCANY</v>
      </c>
      <c r="I69" s="263"/>
      <c r="J69" s="296" t="s">
        <v>987</v>
      </c>
      <c r="K69" s="285" t="s">
        <v>988</v>
      </c>
      <c r="M69" s="286">
        <f>IF(ISNUMBER(SEARCH(ZAKL_DATA!$B$29,N69)),MAX($M$2:M68)+1,0)</f>
        <v>67</v>
      </c>
      <c r="N69" s="791" t="s">
        <v>3235</v>
      </c>
      <c r="O69" s="791" t="s">
        <v>3236</v>
      </c>
      <c r="Q69" s="288" t="str">
        <f>IFERROR(VLOOKUP(ROWS($Q$3:Q69),$M$3:$N$718,2,0),"")</f>
        <v>Činnosti v oblasti sportu j. n.</v>
      </c>
      <c r="R69">
        <f>IF(ISNUMBER(SEARCH('1Př1'!$A$32,N69)),MAX($M$2:M68)+1,0)</f>
        <v>67</v>
      </c>
      <c r="S69" s="287" t="s">
        <v>989</v>
      </c>
      <c r="T69" t="str">
        <f>IFERROR(VLOOKUP(ROWS($T$3:T69),$R$3:$S$718,2,0),"")</f>
        <v>Čin.v obl.filmů,videozázn.a tel.programů,pořiz.zvuk.nahr.a hudeb.vyd.čin.</v>
      </c>
      <c r="U69">
        <f>IF(ISNUMBER(SEARCH('1Př1'!$A$33,N69)),MAX($M$2:M68)+1,0)</f>
        <v>67</v>
      </c>
      <c r="V69" s="287" t="s">
        <v>989</v>
      </c>
      <c r="W69" t="str">
        <f>IFERROR(VLOOKUP(ROWS($W$3:W69),$U$3:$V$718,2,0),"")</f>
        <v>Čin.v obl.filmů,videozázn.a tel.programů,pořiz.zvuk.nahr.a hudeb.vyd.čin.</v>
      </c>
      <c r="X69">
        <f>IF(ISNUMBER(SEARCH('1Př1'!$A$34,N69)),MAX($M$2:M68)+1,0)</f>
        <v>67</v>
      </c>
      <c r="Y69" s="287" t="s">
        <v>989</v>
      </c>
      <c r="Z69" t="str">
        <f>IFERROR(VLOOKUP(ROWS($Z$3:Z69),$X$3:$Y$718,2,0),"")</f>
        <v>Čin.v obl.filmů,videozázn.a tel.programů,pořiz.zvuk.nahr.a hudeb.vyd.čin.</v>
      </c>
    </row>
    <row r="70" spans="1:26" ht="12.75" customHeight="1">
      <c r="A70" s="263"/>
      <c r="B70" s="263"/>
      <c r="C70" s="263"/>
      <c r="D70" s="279">
        <f>IF(ISNUMBER(SEARCH(ZAKL_DATA!$B$14,E70)),MAX($D$2:D69)+1,0)</f>
        <v>68</v>
      </c>
      <c r="E70" s="291" t="s">
        <v>990</v>
      </c>
      <c r="F70" s="292">
        <v>2313</v>
      </c>
      <c r="G70" s="293"/>
      <c r="H70" s="294" t="str">
        <f>IFERROR(VLOOKUP(ROWS($H$3:H70),$D$3:$E$204,2,0),"")</f>
        <v>TACHOV</v>
      </c>
      <c r="I70" s="263"/>
      <c r="J70" s="296" t="s">
        <v>991</v>
      </c>
      <c r="K70" s="285" t="s">
        <v>992</v>
      </c>
      <c r="M70" s="286">
        <f>IF(ISNUMBER(SEARCH(ZAKL_DATA!$B$29,N70)),MAX($M$2:M69)+1,0)</f>
        <v>68</v>
      </c>
      <c r="N70" s="791" t="s">
        <v>2175</v>
      </c>
      <c r="O70" s="791" t="s">
        <v>3237</v>
      </c>
      <c r="Q70" s="288" t="str">
        <f>IFERROR(VLOOKUP(ROWS($Q$3:Q70),$M$3:$N$718,2,0),"")</f>
        <v>Činnosti v oblasti spravedlnosti a soudnictví</v>
      </c>
      <c r="R70">
        <f>IF(ISNUMBER(SEARCH('1Př1'!$A$32,N70)),MAX($M$2:M69)+1,0)</f>
        <v>68</v>
      </c>
      <c r="S70" s="287" t="s">
        <v>993</v>
      </c>
      <c r="T70" t="str">
        <f>IFERROR(VLOOKUP(ROWS($T$3:T70),$R$3:$S$718,2,0),"")</f>
        <v>Tvorba programů a vysílání</v>
      </c>
      <c r="U70">
        <f>IF(ISNUMBER(SEARCH('1Př1'!$A$33,N70)),MAX($M$2:M69)+1,0)</f>
        <v>68</v>
      </c>
      <c r="V70" s="287" t="s">
        <v>993</v>
      </c>
      <c r="W70" t="str">
        <f>IFERROR(VLOOKUP(ROWS($W$3:W70),$U$3:$V$718,2,0),"")</f>
        <v>Tvorba programů a vysílání</v>
      </c>
      <c r="X70">
        <f>IF(ISNUMBER(SEARCH('1Př1'!$A$34,N70)),MAX($M$2:M69)+1,0)</f>
        <v>68</v>
      </c>
      <c r="Y70" s="287" t="s">
        <v>993</v>
      </c>
      <c r="Z70" t="str">
        <f>IFERROR(VLOOKUP(ROWS($Z$3:Z70),$X$3:$Y$718,2,0),"")</f>
        <v>Tvorba programů a vysílání</v>
      </c>
    </row>
    <row r="71" spans="1:26" ht="12.75" customHeight="1">
      <c r="A71" s="263"/>
      <c r="B71" s="263"/>
      <c r="C71" s="263"/>
      <c r="D71" s="279">
        <f>IF(ISNUMBER(SEARCH(ZAKL_DATA!$B$14,E71)),MAX($D$2:D70)+1,0)</f>
        <v>69</v>
      </c>
      <c r="E71" s="291" t="s">
        <v>994</v>
      </c>
      <c r="F71" s="292">
        <v>2314</v>
      </c>
      <c r="G71" s="293"/>
      <c r="H71" s="294" t="str">
        <f>IFERROR(VLOOKUP(ROWS($H$3:H71),$D$3:$E$204,2,0),"")</f>
        <v>STŘÍBRO</v>
      </c>
      <c r="I71" s="263"/>
      <c r="J71" s="296" t="s">
        <v>995</v>
      </c>
      <c r="K71" s="285" t="s">
        <v>996</v>
      </c>
      <c r="M71" s="286">
        <f>IF(ISNUMBER(SEARCH(ZAKL_DATA!$B$29,N71)),MAX($M$2:M70)+1,0)</f>
        <v>69</v>
      </c>
      <c r="N71" s="791" t="s">
        <v>3238</v>
      </c>
      <c r="O71" s="791" t="s">
        <v>3239</v>
      </c>
      <c r="Q71" s="288" t="str">
        <f>IFERROR(VLOOKUP(ROWS($Q$3:Q71),$M$3:$N$718,2,0),"")</f>
        <v>Činnosti v oblasti tradiční, doplňkové a alternativní medicíny</v>
      </c>
      <c r="R71">
        <f>IF(ISNUMBER(SEARCH('1Př1'!$A$32,N71)),MAX($M$2:M70)+1,0)</f>
        <v>69</v>
      </c>
      <c r="S71" s="287" t="s">
        <v>997</v>
      </c>
      <c r="T71" t="str">
        <f>IFERROR(VLOOKUP(ROWS($T$3:T71),$R$3:$S$718,2,0),"")</f>
        <v>Telekomunikační činnosti</v>
      </c>
      <c r="U71">
        <f>IF(ISNUMBER(SEARCH('1Př1'!$A$33,N71)),MAX($M$2:M70)+1,0)</f>
        <v>69</v>
      </c>
      <c r="V71" s="287" t="s">
        <v>997</v>
      </c>
      <c r="W71" t="str">
        <f>IFERROR(VLOOKUP(ROWS($W$3:W71),$U$3:$V$718,2,0),"")</f>
        <v>Telekomunikační činnosti</v>
      </c>
      <c r="X71">
        <f>IF(ISNUMBER(SEARCH('1Př1'!$A$34,N71)),MAX($M$2:M70)+1,0)</f>
        <v>69</v>
      </c>
      <c r="Y71" s="287" t="s">
        <v>997</v>
      </c>
      <c r="Z71" t="str">
        <f>IFERROR(VLOOKUP(ROWS($Z$3:Z71),$X$3:$Y$718,2,0),"")</f>
        <v>Telekomunikační činnosti</v>
      </c>
    </row>
    <row r="72" spans="1:26" ht="12.75" customHeight="1">
      <c r="A72" s="263"/>
      <c r="B72" s="263"/>
      <c r="C72" s="263"/>
      <c r="D72" s="279">
        <f>IF(ISNUMBER(SEARCH(ZAKL_DATA!$B$14,E72)),MAX($D$2:D71)+1,0)</f>
        <v>70</v>
      </c>
      <c r="E72" s="291" t="s">
        <v>998</v>
      </c>
      <c r="F72" s="292">
        <v>2315</v>
      </c>
      <c r="G72" s="293"/>
      <c r="H72" s="294" t="str">
        <f>IFERROR(VLOOKUP(ROWS($H$3:H72),$D$3:$E$204,2,0),"")</f>
        <v>SUŠICE</v>
      </c>
      <c r="I72" s="263"/>
      <c r="J72" s="296" t="s">
        <v>999</v>
      </c>
      <c r="K72" s="285" t="s">
        <v>1000</v>
      </c>
      <c r="M72" s="286">
        <f>IF(ISNUMBER(SEARCH(ZAKL_DATA!$B$29,N72)),MAX($M$2:M71)+1,0)</f>
        <v>70</v>
      </c>
      <c r="N72" s="791" t="s">
        <v>2176</v>
      </c>
      <c r="O72" s="791" t="s">
        <v>3240</v>
      </c>
      <c r="Q72" s="288" t="str">
        <f>IFERROR(VLOOKUP(ROWS($Q$3:Q72),$M$3:$N$718,2,0),"")</f>
        <v>Činnosti v oblasti veřejného pořádku a bezpečnosti</v>
      </c>
      <c r="R72">
        <f>IF(ISNUMBER(SEARCH('1Př1'!$A$32,N72)),MAX($M$2:M71)+1,0)</f>
        <v>70</v>
      </c>
      <c r="S72" s="287" t="s">
        <v>1001</v>
      </c>
      <c r="T72" t="str">
        <f>IFERROR(VLOOKUP(ROWS($T$3:T72),$R$3:$S$718,2,0),"")</f>
        <v>Těžba ropy</v>
      </c>
      <c r="U72">
        <f>IF(ISNUMBER(SEARCH('1Př1'!$A$33,N72)),MAX($M$2:M71)+1,0)</f>
        <v>70</v>
      </c>
      <c r="V72" s="287" t="s">
        <v>1001</v>
      </c>
      <c r="W72" t="str">
        <f>IFERROR(VLOOKUP(ROWS($W$3:W72),$U$3:$V$718,2,0),"")</f>
        <v>Těžba ropy</v>
      </c>
      <c r="X72">
        <f>IF(ISNUMBER(SEARCH('1Př1'!$A$34,N72)),MAX($M$2:M71)+1,0)</f>
        <v>70</v>
      </c>
      <c r="Y72" s="287" t="s">
        <v>1001</v>
      </c>
      <c r="Z72" t="str">
        <f>IFERROR(VLOOKUP(ROWS($Z$3:Z72),$X$3:$Y$718,2,0),"")</f>
        <v>Těžba ropy</v>
      </c>
    </row>
    <row r="73" spans="1:26" ht="12.75" customHeight="1">
      <c r="A73" s="263"/>
      <c r="B73" s="263"/>
      <c r="C73" s="263"/>
      <c r="D73" s="279">
        <f>IF(ISNUMBER(SEARCH(ZAKL_DATA!$B$14,E73)),MAX($D$2:D72)+1,0)</f>
        <v>71</v>
      </c>
      <c r="E73" s="291" t="s">
        <v>1002</v>
      </c>
      <c r="F73" s="292">
        <v>2401</v>
      </c>
      <c r="G73" s="293"/>
      <c r="H73" s="294" t="str">
        <f>IFERROR(VLOOKUP(ROWS($H$3:H73),$D$3:$E$204,2,0),"")</f>
        <v>KARLOVY VARY</v>
      </c>
      <c r="I73" s="263"/>
      <c r="J73" s="296" t="s">
        <v>1003</v>
      </c>
      <c r="K73" s="285" t="s">
        <v>1004</v>
      </c>
      <c r="M73" s="286">
        <f>IF(ISNUMBER(SEARCH(ZAKL_DATA!$B$29,N73)),MAX($M$2:M72)+1,0)</f>
        <v>71</v>
      </c>
      <c r="N73" s="791" t="s">
        <v>3241</v>
      </c>
      <c r="O73" s="791" t="s">
        <v>3242</v>
      </c>
      <c r="Q73" s="288" t="str">
        <f>IFERROR(VLOOKUP(ROWS($Q$3:Q73),$M$3:$N$718,2,0),"")</f>
        <v>Činnosti v oblasti vztahů s veřejností a komunikace</v>
      </c>
      <c r="R73">
        <f>IF(ISNUMBER(SEARCH('1Př1'!$A$32,N73)),MAX($M$2:M72)+1,0)</f>
        <v>71</v>
      </c>
      <c r="S73" s="287" t="s">
        <v>1005</v>
      </c>
      <c r="T73" t="str">
        <f>IFERROR(VLOOKUP(ROWS($T$3:T73),$R$3:$S$718,2,0),"")</f>
        <v>Činnosti v oblasti informačních technologií</v>
      </c>
      <c r="U73">
        <f>IF(ISNUMBER(SEARCH('1Př1'!$A$33,N73)),MAX($M$2:M72)+1,0)</f>
        <v>71</v>
      </c>
      <c r="V73" s="287" t="s">
        <v>1005</v>
      </c>
      <c r="W73" t="str">
        <f>IFERROR(VLOOKUP(ROWS($W$3:W73),$U$3:$V$718,2,0),"")</f>
        <v>Činnosti v oblasti informačních technologií</v>
      </c>
      <c r="X73">
        <f>IF(ISNUMBER(SEARCH('1Př1'!$A$34,N73)),MAX($M$2:M72)+1,0)</f>
        <v>71</v>
      </c>
      <c r="Y73" s="287" t="s">
        <v>1005</v>
      </c>
      <c r="Z73" t="str">
        <f>IFERROR(VLOOKUP(ROWS($Z$3:Z73),$X$3:$Y$718,2,0),"")</f>
        <v>Činnosti v oblasti informačních technologií</v>
      </c>
    </row>
    <row r="74" spans="1:26" ht="12.75" customHeight="1">
      <c r="A74" s="263"/>
      <c r="B74" s="263"/>
      <c r="C74" s="263"/>
      <c r="D74" s="279">
        <f>IF(ISNUMBER(SEARCH(ZAKL_DATA!$B$14,E74)),MAX($D$2:D73)+1,0)</f>
        <v>72</v>
      </c>
      <c r="E74" s="291" t="s">
        <v>1006</v>
      </c>
      <c r="F74" s="292">
        <v>2402</v>
      </c>
      <c r="G74" s="293"/>
      <c r="H74" s="294" t="str">
        <f>IFERROR(VLOOKUP(ROWS($H$3:H74),$D$3:$E$204,2,0),"")</f>
        <v>AŠ</v>
      </c>
      <c r="I74" s="263"/>
      <c r="J74" s="296" t="s">
        <v>1007</v>
      </c>
      <c r="K74" s="285" t="s">
        <v>1008</v>
      </c>
      <c r="M74" s="286">
        <f>IF(ISNUMBER(SEARCH(ZAKL_DATA!$B$29,N74)),MAX($M$2:M73)+1,0)</f>
        <v>72</v>
      </c>
      <c r="N74" s="791" t="s">
        <v>3243</v>
      </c>
      <c r="O74" s="791" t="s">
        <v>3244</v>
      </c>
      <c r="Q74" s="288" t="str">
        <f>IFERROR(VLOOKUP(ROWS($Q$3:Q74),$M$3:$N$718,2,0),"")</f>
        <v>Činnosti v oblasti zábavy a rekreace j. n.</v>
      </c>
      <c r="R74">
        <f>IF(ISNUMBER(SEARCH('1Př1'!$A$32,N74)),MAX($M$2:M73)+1,0)</f>
        <v>72</v>
      </c>
      <c r="S74" s="287" t="s">
        <v>1009</v>
      </c>
      <c r="T74" t="str">
        <f>IFERROR(VLOOKUP(ROWS($T$3:T74),$R$3:$S$718,2,0),"")</f>
        <v>Těžba zemního plynu</v>
      </c>
      <c r="U74">
        <f>IF(ISNUMBER(SEARCH('1Př1'!$A$33,N74)),MAX($M$2:M73)+1,0)</f>
        <v>72</v>
      </c>
      <c r="V74" s="287" t="s">
        <v>1009</v>
      </c>
      <c r="W74" t="str">
        <f>IFERROR(VLOOKUP(ROWS($W$3:W74),$U$3:$V$718,2,0),"")</f>
        <v>Těžba zemního plynu</v>
      </c>
      <c r="X74">
        <f>IF(ISNUMBER(SEARCH('1Př1'!$A$34,N74)),MAX($M$2:M73)+1,0)</f>
        <v>72</v>
      </c>
      <c r="Y74" s="287" t="s">
        <v>1009</v>
      </c>
      <c r="Z74" t="str">
        <f>IFERROR(VLOOKUP(ROWS($Z$3:Z74),$X$3:$Y$718,2,0),"")</f>
        <v>Těžba zemního plynu</v>
      </c>
    </row>
    <row r="75" spans="1:26" ht="12.75" customHeight="1">
      <c r="A75" s="263"/>
      <c r="B75" s="263"/>
      <c r="C75" s="263"/>
      <c r="D75" s="279">
        <f>IF(ISNUMBER(SEARCH(ZAKL_DATA!$B$14,E75)),MAX($D$2:D74)+1,0)</f>
        <v>73</v>
      </c>
      <c r="E75" s="291" t="s">
        <v>1010</v>
      </c>
      <c r="F75" s="292">
        <v>2403</v>
      </c>
      <c r="G75" s="293"/>
      <c r="H75" s="294" t="str">
        <f>IFERROR(VLOOKUP(ROWS($H$3:H75),$D$3:$E$204,2,0),"")</f>
        <v>CHEB</v>
      </c>
      <c r="I75" s="263"/>
      <c r="J75" s="296" t="s">
        <v>1011</v>
      </c>
      <c r="K75" s="285" t="s">
        <v>1012</v>
      </c>
      <c r="M75" s="286">
        <f>IF(ISNUMBER(SEARCH(ZAKL_DATA!$B$29,N75)),MAX($M$2:M74)+1,0)</f>
        <v>73</v>
      </c>
      <c r="N75" s="791" t="s">
        <v>2173</v>
      </c>
      <c r="O75" s="791" t="s">
        <v>3245</v>
      </c>
      <c r="Q75" s="288" t="str">
        <f>IFERROR(VLOOKUP(ROWS($Q$3:Q75),$M$3:$N$718,2,0),"")</f>
        <v>Činnosti v oblasti zahraničních věcí</v>
      </c>
      <c r="R75">
        <f>IF(ISNUMBER(SEARCH('1Př1'!$A$32,N75)),MAX($M$2:M74)+1,0)</f>
        <v>73</v>
      </c>
      <c r="S75" s="287" t="s">
        <v>1013</v>
      </c>
      <c r="T75" t="str">
        <f>IFERROR(VLOOKUP(ROWS($T$3:T75),$R$3:$S$718,2,0),"")</f>
        <v>Informační činnosti</v>
      </c>
      <c r="U75">
        <f>IF(ISNUMBER(SEARCH('1Př1'!$A$33,N75)),MAX($M$2:M74)+1,0)</f>
        <v>73</v>
      </c>
      <c r="V75" s="287" t="s">
        <v>1013</v>
      </c>
      <c r="W75" t="str">
        <f>IFERROR(VLOOKUP(ROWS($W$3:W75),$U$3:$V$718,2,0),"")</f>
        <v>Informační činnosti</v>
      </c>
      <c r="X75">
        <f>IF(ISNUMBER(SEARCH('1Př1'!$A$34,N75)),MAX($M$2:M74)+1,0)</f>
        <v>73</v>
      </c>
      <c r="Y75" s="287" t="s">
        <v>1013</v>
      </c>
      <c r="Z75" t="str">
        <f>IFERROR(VLOOKUP(ROWS($Z$3:Z75),$X$3:$Y$718,2,0),"")</f>
        <v>Informační činnosti</v>
      </c>
    </row>
    <row r="76" spans="1:26" ht="12.75" customHeight="1">
      <c r="A76" s="263"/>
      <c r="B76" s="263"/>
      <c r="C76" s="263"/>
      <c r="D76" s="279">
        <f>IF(ISNUMBER(SEARCH(ZAKL_DATA!$B$14,E76)),MAX($D$2:D75)+1,0)</f>
        <v>74</v>
      </c>
      <c r="E76" s="291" t="s">
        <v>1014</v>
      </c>
      <c r="F76" s="292">
        <v>2404</v>
      </c>
      <c r="G76" s="293"/>
      <c r="H76" s="294" t="str">
        <f>IFERROR(VLOOKUP(ROWS($H$3:H76),$D$3:$E$204,2,0),"")</f>
        <v>KRASLICE</v>
      </c>
      <c r="I76" s="263"/>
      <c r="J76" s="296" t="s">
        <v>1015</v>
      </c>
      <c r="K76" s="285" t="s">
        <v>1016</v>
      </c>
      <c r="M76" s="286">
        <f>IF(ISNUMBER(SEARCH(ZAKL_DATA!$B$29,N76)),MAX($M$2:M75)+1,0)</f>
        <v>74</v>
      </c>
      <c r="N76" s="792" t="s">
        <v>3246</v>
      </c>
      <c r="O76" s="791" t="s">
        <v>3247</v>
      </c>
      <c r="Q76" s="288" t="str">
        <f>IFERROR(VLOOKUP(ROWS($Q$3:Q76),$M$3:$N$718,2,0),"")</f>
        <v>Činnosti v oblasti zprostředkování a marketingu patentů</v>
      </c>
      <c r="R76">
        <f>IF(ISNUMBER(SEARCH('1Př1'!$A$32,N76)),MAX($M$2:M75)+1,0)</f>
        <v>74</v>
      </c>
      <c r="S76" s="287" t="s">
        <v>1017</v>
      </c>
      <c r="T76" t="str">
        <f>IFERROR(VLOOKUP(ROWS($T$3:T76),$R$3:$S$718,2,0),"")</f>
        <v>Finanční zprostředkování, kromě pojišťovnictví a penzijního financování</v>
      </c>
      <c r="U76">
        <f>IF(ISNUMBER(SEARCH('1Př1'!$A$33,N76)),MAX($M$2:M75)+1,0)</f>
        <v>74</v>
      </c>
      <c r="V76" s="287" t="s">
        <v>1017</v>
      </c>
      <c r="W76" t="str">
        <f>IFERROR(VLOOKUP(ROWS($W$3:W76),$U$3:$V$718,2,0),"")</f>
        <v>Finanční zprostředkování, kromě pojišťovnictví a penzijního financování</v>
      </c>
      <c r="X76">
        <f>IF(ISNUMBER(SEARCH('1Př1'!$A$34,N76)),MAX($M$2:M75)+1,0)</f>
        <v>74</v>
      </c>
      <c r="Y76" s="287" t="s">
        <v>1017</v>
      </c>
      <c r="Z76" t="str">
        <f>IFERROR(VLOOKUP(ROWS($Z$3:Z76),$X$3:$Y$718,2,0),"")</f>
        <v>Finanční zprostředkování, kromě pojišťovnictví a penzijního financování</v>
      </c>
    </row>
    <row r="77" spans="1:26" ht="12.75" customHeight="1">
      <c r="A77" s="263"/>
      <c r="B77" s="263"/>
      <c r="C77" s="263"/>
      <c r="D77" s="279">
        <f>IF(ISNUMBER(SEARCH(ZAKL_DATA!$B$14,E77)),MAX($D$2:D76)+1,0)</f>
        <v>75</v>
      </c>
      <c r="E77" s="291" t="s">
        <v>1018</v>
      </c>
      <c r="F77" s="292">
        <v>2405</v>
      </c>
      <c r="G77" s="293"/>
      <c r="H77" s="294" t="str">
        <f>IFERROR(VLOOKUP(ROWS($H$3:H77),$D$3:$E$204,2,0),"")</f>
        <v>MARIÁNSKÉ LÁZNĚ</v>
      </c>
      <c r="I77" s="263"/>
      <c r="J77" s="296" t="s">
        <v>1019</v>
      </c>
      <c r="K77" s="285" t="s">
        <v>1020</v>
      </c>
      <c r="M77" s="286">
        <f>IF(ISNUMBER(SEARCH(ZAKL_DATA!$B$29,N77)),MAX($M$2:M76)+1,0)</f>
        <v>75</v>
      </c>
      <c r="N77" s="791" t="s">
        <v>3248</v>
      </c>
      <c r="O77" s="791" t="s">
        <v>3249</v>
      </c>
      <c r="Q77" s="288" t="str">
        <f>IFERROR(VLOOKUP(ROWS($Q$3:Q77),$M$3:$N$718,2,0),"")</f>
        <v>Činnosti v oblasti životního pojištění</v>
      </c>
      <c r="R77">
        <f>IF(ISNUMBER(SEARCH('1Př1'!$A$32,N77)),MAX($M$2:M76)+1,0)</f>
        <v>75</v>
      </c>
      <c r="S77" s="287" t="s">
        <v>1021</v>
      </c>
      <c r="T77" t="str">
        <f>IFERROR(VLOOKUP(ROWS($T$3:T77),$R$3:$S$718,2,0),"")</f>
        <v>Pojištění,zajištění a penzijní financování,kromě povinného soc.zabezpečení</v>
      </c>
      <c r="U77">
        <f>IF(ISNUMBER(SEARCH('1Př1'!$A$33,N77)),MAX($M$2:M76)+1,0)</f>
        <v>75</v>
      </c>
      <c r="V77" s="287" t="s">
        <v>1021</v>
      </c>
      <c r="W77" t="str">
        <f>IFERROR(VLOOKUP(ROWS($W$3:W77),$U$3:$V$718,2,0),"")</f>
        <v>Pojištění,zajištění a penzijní financování,kromě povinného soc.zabezpečení</v>
      </c>
      <c r="X77">
        <f>IF(ISNUMBER(SEARCH('1Př1'!$A$34,N77)),MAX($M$2:M76)+1,0)</f>
        <v>75</v>
      </c>
      <c r="Y77" s="287" t="s">
        <v>1021</v>
      </c>
      <c r="Z77" t="str">
        <f>IFERROR(VLOOKUP(ROWS($Z$3:Z77),$X$3:$Y$718,2,0),"")</f>
        <v>Pojištění,zajištění a penzijní financování,kromě povinného soc.zabezpečení</v>
      </c>
    </row>
    <row r="78" spans="1:26" ht="12.75" customHeight="1">
      <c r="A78" s="263"/>
      <c r="B78" s="263"/>
      <c r="C78" s="263"/>
      <c r="D78" s="279">
        <f>IF(ISNUMBER(SEARCH(ZAKL_DATA!$B$14,E78)),MAX($D$2:D77)+1,0)</f>
        <v>76</v>
      </c>
      <c r="E78" s="291" t="s">
        <v>1022</v>
      </c>
      <c r="F78" s="292">
        <v>2406</v>
      </c>
      <c r="G78" s="293"/>
      <c r="H78" s="294" t="str">
        <f>IFERROR(VLOOKUP(ROWS($H$3:H78),$D$3:$E$204,2,0),"")</f>
        <v>OSTROV NAD OHŘÍ</v>
      </c>
      <c r="I78" s="263"/>
      <c r="J78" s="296" t="s">
        <v>1023</v>
      </c>
      <c r="K78" s="285" t="s">
        <v>1024</v>
      </c>
      <c r="M78" s="286">
        <f>IF(ISNUMBER(SEARCH(ZAKL_DATA!$B$29,N78)),MAX($M$2:M77)+1,0)</f>
        <v>76</v>
      </c>
      <c r="N78" s="791" t="s">
        <v>3250</v>
      </c>
      <c r="O78" s="791" t="s">
        <v>3251</v>
      </c>
      <c r="Q78" s="288" t="str">
        <f>IFERROR(VLOOKUP(ROWS($Q$3:Q78),$M$3:$N$718,2,0),"")</f>
        <v>Činnosti webových vyhledávacích portálů</v>
      </c>
      <c r="R78">
        <f>IF(ISNUMBER(SEARCH('1Př1'!$A$32,N78)),MAX($M$2:M77)+1,0)</f>
        <v>76</v>
      </c>
      <c r="S78" s="287" t="s">
        <v>1025</v>
      </c>
      <c r="T78" t="str">
        <f>IFERROR(VLOOKUP(ROWS($T$3:T78),$R$3:$S$718,2,0),"")</f>
        <v>Ostatní finanční činnosti</v>
      </c>
      <c r="U78">
        <f>IF(ISNUMBER(SEARCH('1Př1'!$A$33,N78)),MAX($M$2:M77)+1,0)</f>
        <v>76</v>
      </c>
      <c r="V78" s="287" t="s">
        <v>1025</v>
      </c>
      <c r="W78" t="str">
        <f>IFERROR(VLOOKUP(ROWS($W$3:W78),$U$3:$V$718,2,0),"")</f>
        <v>Ostatní finanční činnosti</v>
      </c>
      <c r="X78">
        <f>IF(ISNUMBER(SEARCH('1Př1'!$A$34,N78)),MAX($M$2:M77)+1,0)</f>
        <v>76</v>
      </c>
      <c r="Y78" s="287" t="s">
        <v>1025</v>
      </c>
      <c r="Z78" t="str">
        <f>IFERROR(VLOOKUP(ROWS($Z$3:Z78),$X$3:$Y$718,2,0),"")</f>
        <v>Ostatní finanční činnosti</v>
      </c>
    </row>
    <row r="79" spans="1:26" ht="12.75" customHeight="1">
      <c r="A79" s="263"/>
      <c r="B79" s="263"/>
      <c r="C79" s="263"/>
      <c r="D79" s="279">
        <f>IF(ISNUMBER(SEARCH(ZAKL_DATA!$B$14,E79)),MAX($D$2:D78)+1,0)</f>
        <v>77</v>
      </c>
      <c r="E79" s="291" t="s">
        <v>1026</v>
      </c>
      <c r="F79" s="292">
        <v>2407</v>
      </c>
      <c r="G79" s="293"/>
      <c r="H79" s="294" t="str">
        <f>IFERROR(VLOOKUP(ROWS($H$3:H79),$D$3:$E$204,2,0),"")</f>
        <v>SOKOLOV</v>
      </c>
      <c r="I79" s="263"/>
      <c r="J79" s="296" t="s">
        <v>1027</v>
      </c>
      <c r="K79" s="285" t="s">
        <v>1028</v>
      </c>
      <c r="M79" s="286">
        <f>IF(ISNUMBER(SEARCH(ZAKL_DATA!$B$29,N79)),MAX($M$2:M78)+1,0)</f>
        <v>77</v>
      </c>
      <c r="N79" s="791" t="s">
        <v>3252</v>
      </c>
      <c r="O79" s="791" t="s">
        <v>3253</v>
      </c>
      <c r="Q79" s="288" t="str">
        <f>IFERROR(VLOOKUP(ROWS($Q$3:Q79),$M$3:$N$718,2,0),"")</f>
        <v>Činnosti zábavních parků</v>
      </c>
      <c r="R79">
        <f>IF(ISNUMBER(SEARCH('1Př1'!$A$32,N79)),MAX($M$2:M78)+1,0)</f>
        <v>77</v>
      </c>
      <c r="S79" s="287" t="s">
        <v>1029</v>
      </c>
      <c r="T79" t="str">
        <f>IFERROR(VLOOKUP(ROWS($T$3:T79),$R$3:$S$718,2,0),"")</f>
        <v>Činnosti v oblasti nemovitostí</v>
      </c>
      <c r="U79">
        <f>IF(ISNUMBER(SEARCH('1Př1'!$A$33,N79)),MAX($M$2:M78)+1,0)</f>
        <v>77</v>
      </c>
      <c r="V79" s="287" t="s">
        <v>1029</v>
      </c>
      <c r="W79" t="str">
        <f>IFERROR(VLOOKUP(ROWS($W$3:W79),$U$3:$V$718,2,0),"")</f>
        <v>Činnosti v oblasti nemovitostí</v>
      </c>
      <c r="X79">
        <f>IF(ISNUMBER(SEARCH('1Př1'!$A$34,N79)),MAX($M$2:M78)+1,0)</f>
        <v>77</v>
      </c>
      <c r="Y79" s="287" t="s">
        <v>1029</v>
      </c>
      <c r="Z79" t="str">
        <f>IFERROR(VLOOKUP(ROWS($Z$3:Z79),$X$3:$Y$718,2,0),"")</f>
        <v>Činnosti v oblasti nemovitostí</v>
      </c>
    </row>
    <row r="80" spans="1:26" ht="12.75" customHeight="1">
      <c r="A80" s="263"/>
      <c r="B80" s="263"/>
      <c r="C80" s="263"/>
      <c r="D80" s="279">
        <f>IF(ISNUMBER(SEARCH(ZAKL_DATA!$B$14,E80)),MAX($D$2:D79)+1,0)</f>
        <v>78</v>
      </c>
      <c r="E80" s="291" t="s">
        <v>1030</v>
      </c>
      <c r="F80" s="292">
        <v>2501</v>
      </c>
      <c r="G80" s="293"/>
      <c r="H80" s="294" t="str">
        <f>IFERROR(VLOOKUP(ROWS($H$3:H80),$D$3:$E$204,2,0),"")</f>
        <v>ÚSTÍ NAD LABEM</v>
      </c>
      <c r="I80" s="263"/>
      <c r="J80" s="296" t="s">
        <v>1031</v>
      </c>
      <c r="K80" s="285" t="s">
        <v>1032</v>
      </c>
      <c r="M80" s="286">
        <f>IF(ISNUMBER(SEARCH(ZAKL_DATA!$B$29,N80)),MAX($M$2:M79)+1,0)</f>
        <v>78</v>
      </c>
      <c r="N80" s="791" t="s">
        <v>2197</v>
      </c>
      <c r="O80" s="791" t="s">
        <v>3254</v>
      </c>
      <c r="Q80" s="288" t="str">
        <f>IFERROR(VLOOKUP(ROWS($Q$3:Q80),$M$3:$N$718,2,0),"")</f>
        <v>Činnosti zastaváren</v>
      </c>
      <c r="R80">
        <f>IF(ISNUMBER(SEARCH('1Př1'!$A$32,N80)),MAX($M$2:M79)+1,0)</f>
        <v>78</v>
      </c>
      <c r="S80" s="287" t="s">
        <v>1033</v>
      </c>
      <c r="T80" t="str">
        <f>IFERROR(VLOOKUP(ROWS($T$3:T80),$R$3:$S$718,2,0),"")</f>
        <v>Právní a účetnické činnosti</v>
      </c>
      <c r="U80">
        <f>IF(ISNUMBER(SEARCH('1Př1'!$A$33,N80)),MAX($M$2:M79)+1,0)</f>
        <v>78</v>
      </c>
      <c r="V80" s="287" t="s">
        <v>1033</v>
      </c>
      <c r="W80" t="str">
        <f>IFERROR(VLOOKUP(ROWS($W$3:W80),$U$3:$V$718,2,0),"")</f>
        <v>Právní a účetnické činnosti</v>
      </c>
      <c r="X80">
        <f>IF(ISNUMBER(SEARCH('1Př1'!$A$34,N80)),MAX($M$2:M79)+1,0)</f>
        <v>78</v>
      </c>
      <c r="Y80" s="287" t="s">
        <v>1033</v>
      </c>
      <c r="Z80" t="str">
        <f>IFERROR(VLOOKUP(ROWS($Z$3:Z80),$X$3:$Y$718,2,0),"")</f>
        <v>Právní a účetnické činnosti</v>
      </c>
    </row>
    <row r="81" spans="1:26" ht="12.75" customHeight="1">
      <c r="A81" s="263"/>
      <c r="B81" s="263"/>
      <c r="C81" s="263"/>
      <c r="D81" s="279">
        <f>IF(ISNUMBER(SEARCH(ZAKL_DATA!$B$14,E81)),MAX($D$2:D80)+1,0)</f>
        <v>79</v>
      </c>
      <c r="E81" s="291" t="s">
        <v>1034</v>
      </c>
      <c r="F81" s="292">
        <v>2502</v>
      </c>
      <c r="G81" s="293"/>
      <c r="H81" s="294" t="str">
        <f>IFERROR(VLOOKUP(ROWS($H$3:H81),$D$3:$E$204,2,0),"")</f>
        <v>BÍLINA</v>
      </c>
      <c r="I81" s="263"/>
      <c r="J81" s="296" t="s">
        <v>1035</v>
      </c>
      <c r="K81" s="285" t="s">
        <v>1036</v>
      </c>
      <c r="M81" s="286">
        <f>IF(ISNUMBER(SEARCH(ZAKL_DATA!$B$29,N81)),MAX($M$2:M80)+1,0)</f>
        <v>79</v>
      </c>
      <c r="N81" s="791" t="s">
        <v>3255</v>
      </c>
      <c r="O81" s="791" t="s">
        <v>3256</v>
      </c>
      <c r="Q81" s="288" t="str">
        <f>IFERROR(VLOOKUP(ROWS($Q$3:Q81),$M$3:$N$718,2,0),"")</f>
        <v>Činnosti zpravodajských kanceláří a agentur</v>
      </c>
      <c r="R81">
        <f>IF(ISNUMBER(SEARCH('1Př1'!$A$32,N81)),MAX($M$2:M80)+1,0)</f>
        <v>79</v>
      </c>
      <c r="S81" s="287" t="s">
        <v>1037</v>
      </c>
      <c r="T81" t="str">
        <f>IFERROR(VLOOKUP(ROWS($T$3:T81),$R$3:$S$718,2,0),"")</f>
        <v>Činnosti vedení podniků; poradenství v oblasti řízení</v>
      </c>
      <c r="U81">
        <f>IF(ISNUMBER(SEARCH('1Př1'!$A$33,N81)),MAX($M$2:M80)+1,0)</f>
        <v>79</v>
      </c>
      <c r="V81" s="287" t="s">
        <v>1037</v>
      </c>
      <c r="W81" t="str">
        <f>IFERROR(VLOOKUP(ROWS($W$3:W81),$U$3:$V$718,2,0),"")</f>
        <v>Činnosti vedení podniků; poradenství v oblasti řízení</v>
      </c>
      <c r="X81">
        <f>IF(ISNUMBER(SEARCH('1Př1'!$A$34,N81)),MAX($M$2:M80)+1,0)</f>
        <v>79</v>
      </c>
      <c r="Y81" s="287" t="s">
        <v>1037</v>
      </c>
      <c r="Z81" t="str">
        <f>IFERROR(VLOOKUP(ROWS($Z$3:Z81),$X$3:$Y$718,2,0),"")</f>
        <v>Činnosti vedení podniků; poradenství v oblasti řízení</v>
      </c>
    </row>
    <row r="82" spans="1:26" ht="12.75" customHeight="1">
      <c r="A82" s="263"/>
      <c r="B82" s="263"/>
      <c r="C82" s="263"/>
      <c r="D82" s="279">
        <f>IF(ISNUMBER(SEARCH(ZAKL_DATA!$B$14,E82)),MAX($D$2:D81)+1,0)</f>
        <v>80</v>
      </c>
      <c r="E82" s="291" t="s">
        <v>1038</v>
      </c>
      <c r="F82" s="292">
        <v>2503</v>
      </c>
      <c r="G82" s="293"/>
      <c r="H82" s="294" t="str">
        <f>IFERROR(VLOOKUP(ROWS($H$3:H82),$D$3:$E$204,2,0),"")</f>
        <v>DĚČÍN</v>
      </c>
      <c r="I82" s="263"/>
      <c r="J82" s="296" t="s">
        <v>1039</v>
      </c>
      <c r="K82" s="285" t="s">
        <v>1040</v>
      </c>
      <c r="M82" s="286">
        <f>IF(ISNUMBER(SEARCH(ZAKL_DATA!$B$29,N82)),MAX($M$2:M81)+1,0)</f>
        <v>80</v>
      </c>
      <c r="N82" s="792" t="s">
        <v>3257</v>
      </c>
      <c r="O82" s="791" t="s">
        <v>3258</v>
      </c>
      <c r="Q82" s="288" t="str">
        <f>IFERROR(VLOOKUP(ROWS($Q$3:Q82),$M$3:$N$718,2,0),"")</f>
        <v>Dálková železniční osobní doprava</v>
      </c>
      <c r="R82">
        <f>IF(ISNUMBER(SEARCH('1Př1'!$A$32,N82)),MAX($M$2:M81)+1,0)</f>
        <v>80</v>
      </c>
      <c r="S82" s="287" t="s">
        <v>1041</v>
      </c>
      <c r="T82" t="str">
        <f>IFERROR(VLOOKUP(ROWS($T$3:T82),$R$3:$S$718,2,0),"")</f>
        <v>Architektonické a inženýrské činnosti; technické zkoušky a analýzy</v>
      </c>
      <c r="U82">
        <f>IF(ISNUMBER(SEARCH('1Př1'!$A$33,N82)),MAX($M$2:M81)+1,0)</f>
        <v>80</v>
      </c>
      <c r="V82" s="287" t="s">
        <v>1041</v>
      </c>
      <c r="W82" t="str">
        <f>IFERROR(VLOOKUP(ROWS($W$3:W82),$U$3:$V$718,2,0),"")</f>
        <v>Architektonické a inženýrské činnosti; technické zkoušky a analýzy</v>
      </c>
      <c r="X82">
        <f>IF(ISNUMBER(SEARCH('1Př1'!$A$34,N82)),MAX($M$2:M81)+1,0)</f>
        <v>80</v>
      </c>
      <c r="Y82" s="287" t="s">
        <v>1041</v>
      </c>
      <c r="Z82" t="str">
        <f>IFERROR(VLOOKUP(ROWS($Z$3:Z82),$X$3:$Y$718,2,0),"")</f>
        <v>Architektonické a inženýrské činnosti; technické zkoušky a analýzy</v>
      </c>
    </row>
    <row r="83" spans="1:26" ht="12.75" customHeight="1">
      <c r="A83" s="263"/>
      <c r="B83" s="263"/>
      <c r="C83" s="263"/>
      <c r="D83" s="279">
        <f>IF(ISNUMBER(SEARCH(ZAKL_DATA!$B$14,E83)),MAX($D$2:D82)+1,0)</f>
        <v>81</v>
      </c>
      <c r="E83" s="291" t="s">
        <v>1042</v>
      </c>
      <c r="F83" s="292">
        <v>2504</v>
      </c>
      <c r="G83" s="293"/>
      <c r="H83" s="294" t="str">
        <f>IFERROR(VLOOKUP(ROWS($H$3:H83),$D$3:$E$204,2,0),"")</f>
        <v>CHOMUTOV</v>
      </c>
      <c r="I83" s="263"/>
      <c r="J83" s="296" t="s">
        <v>1043</v>
      </c>
      <c r="K83" s="285" t="s">
        <v>1044</v>
      </c>
      <c r="M83" s="286">
        <f>IF(ISNUMBER(SEARCH(ZAKL_DATA!$B$29,N83)),MAX($M$2:M82)+1,0)</f>
        <v>81</v>
      </c>
      <c r="N83" s="791" t="s">
        <v>2023</v>
      </c>
      <c r="O83" s="791" t="s">
        <v>3259</v>
      </c>
      <c r="Q83" s="288" t="str">
        <f>IFERROR(VLOOKUP(ROWS($Q$3:Q83),$M$3:$N$718,2,0),"")</f>
        <v>Demolice</v>
      </c>
      <c r="R83">
        <f>IF(ISNUMBER(SEARCH('1Př1'!$A$32,N83)),MAX($M$2:M82)+1,0)</f>
        <v>81</v>
      </c>
      <c r="S83" s="287" t="s">
        <v>1045</v>
      </c>
      <c r="T83" t="str">
        <f>IFERROR(VLOOKUP(ROWS($T$3:T83),$R$3:$S$718,2,0),"")</f>
        <v>Těžba a úprava železných rud</v>
      </c>
      <c r="U83">
        <f>IF(ISNUMBER(SEARCH('1Př1'!$A$33,N83)),MAX($M$2:M82)+1,0)</f>
        <v>81</v>
      </c>
      <c r="V83" s="287" t="s">
        <v>1045</v>
      </c>
      <c r="W83" t="str">
        <f>IFERROR(VLOOKUP(ROWS($W$3:W83),$U$3:$V$718,2,0),"")</f>
        <v>Těžba a úprava železných rud</v>
      </c>
      <c r="X83">
        <f>IF(ISNUMBER(SEARCH('1Př1'!$A$34,N83)),MAX($M$2:M82)+1,0)</f>
        <v>81</v>
      </c>
      <c r="Y83" s="287" t="s">
        <v>1045</v>
      </c>
      <c r="Z83" t="str">
        <f>IFERROR(VLOOKUP(ROWS($Z$3:Z83),$X$3:$Y$718,2,0),"")</f>
        <v>Těžba a úprava železných rud</v>
      </c>
    </row>
    <row r="84" spans="1:26" ht="12.75" customHeight="1">
      <c r="A84" s="263"/>
      <c r="B84" s="263"/>
      <c r="C84" s="263"/>
      <c r="D84" s="279">
        <f>IF(ISNUMBER(SEARCH(ZAKL_DATA!$B$14,E84)),MAX($D$2:D83)+1,0)</f>
        <v>82</v>
      </c>
      <c r="E84" s="291" t="s">
        <v>1046</v>
      </c>
      <c r="F84" s="292">
        <v>2505</v>
      </c>
      <c r="G84" s="293"/>
      <c r="H84" s="294" t="str">
        <f>IFERROR(VLOOKUP(ROWS($H$3:H84),$D$3:$E$204,2,0),"")</f>
        <v>KADAŇ</v>
      </c>
      <c r="I84" s="263"/>
      <c r="J84" s="299" t="s">
        <v>1047</v>
      </c>
      <c r="K84" s="300" t="s">
        <v>1048</v>
      </c>
      <c r="M84" s="286">
        <f>IF(ISNUMBER(SEARCH(ZAKL_DATA!$B$29,N84)),MAX($M$2:M83)+1,0)</f>
        <v>82</v>
      </c>
      <c r="N84" s="791" t="s">
        <v>3260</v>
      </c>
      <c r="O84" s="791" t="s">
        <v>3261</v>
      </c>
      <c r="Q84" s="288" t="str">
        <f>IFERROR(VLOOKUP(ROWS($Q$3:Q84),$M$3:$N$718,2,0),"")</f>
        <v>Destilace, rektifikace a míchaní lihovin</v>
      </c>
      <c r="R84">
        <f>IF(ISNUMBER(SEARCH('1Př1'!$A$32,N84)),MAX($M$2:M83)+1,0)</f>
        <v>82</v>
      </c>
      <c r="S84" s="287" t="s">
        <v>1049</v>
      </c>
      <c r="T84" t="str">
        <f>IFERROR(VLOOKUP(ROWS($T$3:T84),$R$3:$S$718,2,0),"")</f>
        <v>Výzkum a vývoj</v>
      </c>
      <c r="U84">
        <f>IF(ISNUMBER(SEARCH('1Př1'!$A$33,N84)),MAX($M$2:M83)+1,0)</f>
        <v>82</v>
      </c>
      <c r="V84" s="287" t="s">
        <v>1049</v>
      </c>
      <c r="W84" t="str">
        <f>IFERROR(VLOOKUP(ROWS($W$3:W84),$U$3:$V$718,2,0),"")</f>
        <v>Výzkum a vývoj</v>
      </c>
      <c r="X84">
        <f>IF(ISNUMBER(SEARCH('1Př1'!$A$34,N84)),MAX($M$2:M83)+1,0)</f>
        <v>82</v>
      </c>
      <c r="Y84" s="287" t="s">
        <v>1049</v>
      </c>
      <c r="Z84" t="str">
        <f>IFERROR(VLOOKUP(ROWS($Z$3:Z84),$X$3:$Y$718,2,0),"")</f>
        <v>Výzkum a vývoj</v>
      </c>
    </row>
    <row r="85" spans="1:26" ht="12.75" customHeight="1">
      <c r="A85" s="263"/>
      <c r="B85" s="263"/>
      <c r="C85" s="263"/>
      <c r="D85" s="279">
        <f>IF(ISNUMBER(SEARCH(ZAKL_DATA!$B$14,E85)),MAX($D$2:D84)+1,0)</f>
        <v>83</v>
      </c>
      <c r="E85" s="291" t="s">
        <v>1050</v>
      </c>
      <c r="F85" s="292">
        <v>2506</v>
      </c>
      <c r="G85" s="293"/>
      <c r="H85" s="294" t="str">
        <f>IFERROR(VLOOKUP(ROWS($H$3:H85),$D$3:$E$204,2,0),"")</f>
        <v>LIBOCHOVICE</v>
      </c>
      <c r="I85" s="263"/>
      <c r="J85" s="296" t="s">
        <v>1051</v>
      </c>
      <c r="K85" s="285" t="s">
        <v>1052</v>
      </c>
      <c r="M85" s="286">
        <f>IF(ISNUMBER(SEARCH(ZAKL_DATA!$B$29,N85)),MAX($M$2:M84)+1,0)</f>
        <v>83</v>
      </c>
      <c r="N85" s="791" t="s">
        <v>3262</v>
      </c>
      <c r="O85" s="791" t="s">
        <v>3263</v>
      </c>
      <c r="Q85" s="288" t="str">
        <f>IFERROR(VLOOKUP(ROWS($Q$3:Q85),$M$3:$N$718,2,0),"")</f>
        <v>Developerské činnosti</v>
      </c>
      <c r="R85">
        <f>IF(ISNUMBER(SEARCH('1Př1'!$A$32,N85)),MAX($M$2:M84)+1,0)</f>
        <v>83</v>
      </c>
      <c r="S85" s="287" t="s">
        <v>1053</v>
      </c>
      <c r="T85" t="str">
        <f>IFERROR(VLOOKUP(ROWS($T$3:T85),$R$3:$S$718,2,0),"")</f>
        <v>Těžba a úprava neželezných rud</v>
      </c>
      <c r="U85">
        <f>IF(ISNUMBER(SEARCH('1Př1'!$A$33,N85)),MAX($M$2:M84)+1,0)</f>
        <v>83</v>
      </c>
      <c r="V85" s="287" t="s">
        <v>1053</v>
      </c>
      <c r="W85" t="str">
        <f>IFERROR(VLOOKUP(ROWS($W$3:W85),$U$3:$V$718,2,0),"")</f>
        <v>Těžba a úprava neželezných rud</v>
      </c>
      <c r="X85">
        <f>IF(ISNUMBER(SEARCH('1Př1'!$A$34,N85)),MAX($M$2:M84)+1,0)</f>
        <v>83</v>
      </c>
      <c r="Y85" s="287" t="s">
        <v>1053</v>
      </c>
      <c r="Z85" t="str">
        <f>IFERROR(VLOOKUP(ROWS($Z$3:Z85),$X$3:$Y$718,2,0),"")</f>
        <v>Těžba a úprava neželezných rud</v>
      </c>
    </row>
    <row r="86" spans="1:26" ht="12.75" customHeight="1">
      <c r="A86" s="263"/>
      <c r="B86" s="263"/>
      <c r="C86" s="263"/>
      <c r="D86" s="279">
        <f>IF(ISNUMBER(SEARCH(ZAKL_DATA!$B$14,E86)),MAX($D$2:D85)+1,0)</f>
        <v>84</v>
      </c>
      <c r="E86" s="291" t="s">
        <v>1054</v>
      </c>
      <c r="F86" s="292">
        <v>2507</v>
      </c>
      <c r="G86" s="293"/>
      <c r="H86" s="294" t="str">
        <f>IFERROR(VLOOKUP(ROWS($H$3:H86),$D$3:$E$204,2,0),"")</f>
        <v>LITOMĚŘICE</v>
      </c>
      <c r="I86" s="263"/>
      <c r="J86" s="296" t="s">
        <v>1055</v>
      </c>
      <c r="K86" s="285" t="s">
        <v>1056</v>
      </c>
      <c r="M86" s="286">
        <f>IF(ISNUMBER(SEARCH(ZAKL_DATA!$B$29,N86)),MAX($M$2:M85)+1,0)</f>
        <v>84</v>
      </c>
      <c r="N86" s="791" t="s">
        <v>3264</v>
      </c>
      <c r="O86" s="791" t="s">
        <v>3265</v>
      </c>
      <c r="Q86" s="288" t="str">
        <f>IFERROR(VLOOKUP(ROWS($Q$3:Q86),$M$3:$N$718,2,0),"")</f>
        <v>Distribuce elektřiny</v>
      </c>
      <c r="R86">
        <f>IF(ISNUMBER(SEARCH('1Př1'!$A$32,N86)),MAX($M$2:M85)+1,0)</f>
        <v>84</v>
      </c>
      <c r="S86" s="287" t="s">
        <v>1057</v>
      </c>
      <c r="T86" t="str">
        <f>IFERROR(VLOOKUP(ROWS($T$3:T86),$R$3:$S$718,2,0),"")</f>
        <v>Reklama a průzkum trhu</v>
      </c>
      <c r="U86">
        <f>IF(ISNUMBER(SEARCH('1Př1'!$A$33,N86)),MAX($M$2:M85)+1,0)</f>
        <v>84</v>
      </c>
      <c r="V86" s="287" t="s">
        <v>1057</v>
      </c>
      <c r="W86" t="str">
        <f>IFERROR(VLOOKUP(ROWS($W$3:W86),$U$3:$V$718,2,0),"")</f>
        <v>Reklama a průzkum trhu</v>
      </c>
      <c r="X86">
        <f>IF(ISNUMBER(SEARCH('1Př1'!$A$34,N86)),MAX($M$2:M85)+1,0)</f>
        <v>84</v>
      </c>
      <c r="Y86" s="287" t="s">
        <v>1057</v>
      </c>
      <c r="Z86" t="str">
        <f>IFERROR(VLOOKUP(ROWS($Z$3:Z86),$X$3:$Y$718,2,0),"")</f>
        <v>Reklama a průzkum trhu</v>
      </c>
    </row>
    <row r="87" spans="1:26" ht="12.75" customHeight="1">
      <c r="A87" s="263"/>
      <c r="B87" s="263"/>
      <c r="C87" s="263"/>
      <c r="D87" s="279">
        <f>IF(ISNUMBER(SEARCH(ZAKL_DATA!$B$14,E87)),MAX($D$2:D86)+1,0)</f>
        <v>85</v>
      </c>
      <c r="E87" s="291" t="s">
        <v>1058</v>
      </c>
      <c r="F87" s="292">
        <v>2508</v>
      </c>
      <c r="G87" s="293"/>
      <c r="H87" s="294" t="str">
        <f>IFERROR(VLOOKUP(ROWS($H$3:H87),$D$3:$E$204,2,0),"")</f>
        <v>LITVÍNOV</v>
      </c>
      <c r="I87" s="263"/>
      <c r="J87" s="296" t="s">
        <v>1059</v>
      </c>
      <c r="K87" s="285" t="s">
        <v>1060</v>
      </c>
      <c r="M87" s="286">
        <f>IF(ISNUMBER(SEARCH(ZAKL_DATA!$B$29,N87)),MAX($M$2:M86)+1,0)</f>
        <v>85</v>
      </c>
      <c r="N87" s="791" t="s">
        <v>3266</v>
      </c>
      <c r="O87" s="791" t="s">
        <v>3267</v>
      </c>
      <c r="Q87" s="288" t="str">
        <f>IFERROR(VLOOKUP(ROWS($Q$3:Q87),$M$3:$N$718,2,0),"")</f>
        <v>Distribuce filmů a videozáznamů</v>
      </c>
      <c r="R87">
        <f>IF(ISNUMBER(SEARCH('1Př1'!$A$32,N87)),MAX($M$2:M86)+1,0)</f>
        <v>85</v>
      </c>
      <c r="S87" s="287" t="s">
        <v>1061</v>
      </c>
      <c r="T87" t="str">
        <f>IFERROR(VLOOKUP(ROWS($T$3:T87),$R$3:$S$718,2,0),"")</f>
        <v>Ostatní profesní, vědecké a technické činnosti</v>
      </c>
      <c r="U87">
        <f>IF(ISNUMBER(SEARCH('1Př1'!$A$33,N87)),MAX($M$2:M86)+1,0)</f>
        <v>85</v>
      </c>
      <c r="V87" s="287" t="s">
        <v>1061</v>
      </c>
      <c r="W87" t="str">
        <f>IFERROR(VLOOKUP(ROWS($W$3:W87),$U$3:$V$718,2,0),"")</f>
        <v>Ostatní profesní, vědecké a technické činnosti</v>
      </c>
      <c r="X87">
        <f>IF(ISNUMBER(SEARCH('1Př1'!$A$34,N87)),MAX($M$2:M86)+1,0)</f>
        <v>85</v>
      </c>
      <c r="Y87" s="287" t="s">
        <v>1061</v>
      </c>
      <c r="Z87" t="str">
        <f>IFERROR(VLOOKUP(ROWS($Z$3:Z87),$X$3:$Y$718,2,0),"")</f>
        <v>Ostatní profesní, vědecké a technické činnosti</v>
      </c>
    </row>
    <row r="88" spans="1:26" ht="12.75" customHeight="1">
      <c r="A88" s="263"/>
      <c r="B88" s="263"/>
      <c r="C88" s="263"/>
      <c r="D88" s="279">
        <f>IF(ISNUMBER(SEARCH(ZAKL_DATA!$B$14,E88)),MAX($D$2:D87)+1,0)</f>
        <v>86</v>
      </c>
      <c r="E88" s="291" t="s">
        <v>1062</v>
      </c>
      <c r="F88" s="292">
        <v>2509</v>
      </c>
      <c r="G88" s="293"/>
      <c r="H88" s="294" t="str">
        <f>IFERROR(VLOOKUP(ROWS($H$3:H88),$D$3:$E$204,2,0),"")</f>
        <v>LOUNY</v>
      </c>
      <c r="I88" s="263"/>
      <c r="J88" s="296" t="s">
        <v>1063</v>
      </c>
      <c r="K88" s="285" t="s">
        <v>1064</v>
      </c>
      <c r="M88" s="286">
        <f>IF(ISNUMBER(SEARCH(ZAKL_DATA!$B$29,N88)),MAX($M$2:M87)+1,0)</f>
        <v>86</v>
      </c>
      <c r="N88" s="791" t="s">
        <v>3268</v>
      </c>
      <c r="O88" s="791" t="s">
        <v>3269</v>
      </c>
      <c r="Q88" s="288" t="str">
        <f>IFERROR(VLOOKUP(ROWS($Q$3:Q88),$M$3:$N$718,2,0),"")</f>
        <v>Distribuce plynných paliv prostřednictvím sítí</v>
      </c>
      <c r="R88">
        <f>IF(ISNUMBER(SEARCH('1Př1'!$A$32,N88)),MAX($M$2:M87)+1,0)</f>
        <v>86</v>
      </c>
      <c r="S88" s="287" t="s">
        <v>1065</v>
      </c>
      <c r="T88" t="str">
        <f>IFERROR(VLOOKUP(ROWS($T$3:T88),$R$3:$S$718,2,0),"")</f>
        <v>Veterinární činnosti</v>
      </c>
      <c r="U88">
        <f>IF(ISNUMBER(SEARCH('1Př1'!$A$33,N88)),MAX($M$2:M87)+1,0)</f>
        <v>86</v>
      </c>
      <c r="V88" s="287" t="s">
        <v>1065</v>
      </c>
      <c r="W88" t="str">
        <f>IFERROR(VLOOKUP(ROWS($W$3:W88),$U$3:$V$718,2,0),"")</f>
        <v>Veterinární činnosti</v>
      </c>
      <c r="X88">
        <f>IF(ISNUMBER(SEARCH('1Př1'!$A$34,N88)),MAX($M$2:M87)+1,0)</f>
        <v>86</v>
      </c>
      <c r="Y88" s="287" t="s">
        <v>1065</v>
      </c>
      <c r="Z88" t="str">
        <f>IFERROR(VLOOKUP(ROWS($Z$3:Z88),$X$3:$Y$718,2,0),"")</f>
        <v>Veterinární činnosti</v>
      </c>
    </row>
    <row r="89" spans="1:26" ht="12.75" customHeight="1">
      <c r="A89" s="263"/>
      <c r="B89" s="263"/>
      <c r="C89" s="263"/>
      <c r="D89" s="279">
        <f>IF(ISNUMBER(SEARCH(ZAKL_DATA!$B$14,E89)),MAX($D$2:D88)+1,0)</f>
        <v>87</v>
      </c>
      <c r="E89" s="291" t="s">
        <v>1066</v>
      </c>
      <c r="F89" s="292">
        <v>2510</v>
      </c>
      <c r="G89" s="293"/>
      <c r="H89" s="294" t="str">
        <f>IFERROR(VLOOKUP(ROWS($H$3:H89),$D$3:$E$204,2,0),"")</f>
        <v>MOST</v>
      </c>
      <c r="I89" s="263"/>
      <c r="J89" s="296" t="s">
        <v>1067</v>
      </c>
      <c r="K89" s="285" t="s">
        <v>1068</v>
      </c>
      <c r="M89" s="286">
        <f>IF(ISNUMBER(SEARCH(ZAKL_DATA!$B$29,N89)),MAX($M$2:M88)+1,0)</f>
        <v>87</v>
      </c>
      <c r="N89" s="791" t="s">
        <v>3270</v>
      </c>
      <c r="O89" s="791" t="s">
        <v>3271</v>
      </c>
      <c r="Q89" s="288" t="str">
        <f>IFERROR(VLOOKUP(ROWS($Q$3:Q89),$M$3:$N$718,2,0),"")</f>
        <v>Distribuce zvukových záznamů</v>
      </c>
      <c r="R89">
        <f>IF(ISNUMBER(SEARCH('1Př1'!$A$32,N89)),MAX($M$2:M88)+1,0)</f>
        <v>87</v>
      </c>
      <c r="S89" s="287" t="s">
        <v>1069</v>
      </c>
      <c r="T89" t="str">
        <f>IFERROR(VLOOKUP(ROWS($T$3:T89),$R$3:$S$718,2,0),"")</f>
        <v>Činnosti v oblasti pronájmu a operativního leasingu</v>
      </c>
      <c r="U89">
        <f>IF(ISNUMBER(SEARCH('1Př1'!$A$33,N89)),MAX($M$2:M88)+1,0)</f>
        <v>87</v>
      </c>
      <c r="V89" s="287" t="s">
        <v>1069</v>
      </c>
      <c r="W89" t="str">
        <f>IFERROR(VLOOKUP(ROWS($W$3:W89),$U$3:$V$718,2,0),"")</f>
        <v>Činnosti v oblasti pronájmu a operativního leasingu</v>
      </c>
      <c r="X89">
        <f>IF(ISNUMBER(SEARCH('1Př1'!$A$34,N89)),MAX($M$2:M88)+1,0)</f>
        <v>87</v>
      </c>
      <c r="Y89" s="287" t="s">
        <v>1069</v>
      </c>
      <c r="Z89" t="str">
        <f>IFERROR(VLOOKUP(ROWS($Z$3:Z89),$X$3:$Y$718,2,0),"")</f>
        <v>Činnosti v oblasti pronájmu a operativního leasingu</v>
      </c>
    </row>
    <row r="90" spans="1:26" ht="12.75" customHeight="1">
      <c r="A90" s="263"/>
      <c r="B90" s="263"/>
      <c r="C90" s="263"/>
      <c r="D90" s="279">
        <f>IF(ISNUMBER(SEARCH(ZAKL_DATA!$B$14,E90)),MAX($D$2:D89)+1,0)</f>
        <v>88</v>
      </c>
      <c r="E90" s="291" t="s">
        <v>1070</v>
      </c>
      <c r="F90" s="292">
        <v>2511</v>
      </c>
      <c r="G90" s="293"/>
      <c r="H90" s="294" t="str">
        <f>IFERROR(VLOOKUP(ROWS($H$3:H90),$D$3:$E$204,2,0),"")</f>
        <v>PODBOŘANY</v>
      </c>
      <c r="I90" s="263"/>
      <c r="J90" s="296" t="s">
        <v>1071</v>
      </c>
      <c r="K90" s="285" t="s">
        <v>1072</v>
      </c>
      <c r="M90" s="286">
        <f>IF(ISNUMBER(SEARCH(ZAKL_DATA!$B$29,N90)),MAX($M$2:M89)+1,0)</f>
        <v>88</v>
      </c>
      <c r="N90" s="791" t="s">
        <v>3272</v>
      </c>
      <c r="O90" s="791" t="s">
        <v>3273</v>
      </c>
      <c r="Q90" s="288" t="str">
        <f>IFERROR(VLOOKUP(ROWS($Q$3:Q90),$M$3:$N$718,2,0),"")</f>
        <v>Dobývání kamene, vápence, sádrovce, břidlice a jiného kamene, také pro výtvarné účely</v>
      </c>
      <c r="R90">
        <f>IF(ISNUMBER(SEARCH('1Př1'!$A$32,N90)),MAX($M$2:M89)+1,0)</f>
        <v>88</v>
      </c>
      <c r="S90" s="287" t="s">
        <v>1073</v>
      </c>
      <c r="T90" t="str">
        <f>IFERROR(VLOOKUP(ROWS($T$3:T90),$R$3:$S$718,2,0),"")</f>
        <v>Činnosti související se zaměstnáním</v>
      </c>
      <c r="U90">
        <f>IF(ISNUMBER(SEARCH('1Př1'!$A$33,N90)),MAX($M$2:M89)+1,0)</f>
        <v>88</v>
      </c>
      <c r="V90" s="287" t="s">
        <v>1073</v>
      </c>
      <c r="W90" t="str">
        <f>IFERROR(VLOOKUP(ROWS($W$3:W90),$U$3:$V$718,2,0),"")</f>
        <v>Činnosti související se zaměstnáním</v>
      </c>
      <c r="X90">
        <f>IF(ISNUMBER(SEARCH('1Př1'!$A$34,N90)),MAX($M$2:M89)+1,0)</f>
        <v>88</v>
      </c>
      <c r="Y90" s="287" t="s">
        <v>1073</v>
      </c>
      <c r="Z90" t="str">
        <f>IFERROR(VLOOKUP(ROWS($Z$3:Z90),$X$3:$Y$718,2,0),"")</f>
        <v>Činnosti související se zaměstnáním</v>
      </c>
    </row>
    <row r="91" spans="1:26" ht="12.75" customHeight="1">
      <c r="A91" s="263"/>
      <c r="B91" s="263"/>
      <c r="C91" s="263"/>
      <c r="D91" s="279">
        <f>IF(ISNUMBER(SEARCH(ZAKL_DATA!$B$14,E91)),MAX($D$2:D90)+1,0)</f>
        <v>89</v>
      </c>
      <c r="E91" s="291" t="s">
        <v>1074</v>
      </c>
      <c r="F91" s="292">
        <v>2512</v>
      </c>
      <c r="G91" s="293"/>
      <c r="H91" s="294" t="str">
        <f>IFERROR(VLOOKUP(ROWS($H$3:H91),$D$3:$E$204,2,0),"")</f>
        <v>ROUDNICE NAD LABEM</v>
      </c>
      <c r="I91" s="263"/>
      <c r="J91" s="296" t="s">
        <v>1075</v>
      </c>
      <c r="K91" s="285" t="s">
        <v>1076</v>
      </c>
      <c r="M91" s="286">
        <f>IF(ISNUMBER(SEARCH(ZAKL_DATA!$B$29,N91)),MAX($M$2:M90)+1,0)</f>
        <v>89</v>
      </c>
      <c r="N91" s="791" t="s">
        <v>2026</v>
      </c>
      <c r="O91" s="791" t="s">
        <v>3274</v>
      </c>
      <c r="Q91" s="288" t="str">
        <f>IFERROR(VLOOKUP(ROWS($Q$3:Q91),$M$3:$N$718,2,0),"")</f>
        <v>Elektrické instalace</v>
      </c>
      <c r="R91">
        <f>IF(ISNUMBER(SEARCH('1Př1'!$A$32,N91)),MAX($M$2:M90)+1,0)</f>
        <v>89</v>
      </c>
      <c r="S91" s="287" t="s">
        <v>1077</v>
      </c>
      <c r="T91" t="str">
        <f>IFERROR(VLOOKUP(ROWS($T$3:T91),$R$3:$S$718,2,0),"")</f>
        <v>Činnosti cest.agentur,kanceláří a jiné rezervační a související činnosti</v>
      </c>
      <c r="U91">
        <f>IF(ISNUMBER(SEARCH('1Př1'!$A$33,N91)),MAX($M$2:M90)+1,0)</f>
        <v>89</v>
      </c>
      <c r="V91" s="287" t="s">
        <v>1077</v>
      </c>
      <c r="W91" t="str">
        <f>IFERROR(VLOOKUP(ROWS($W$3:W91),$U$3:$V$718,2,0),"")</f>
        <v>Činnosti cest.agentur,kanceláří a jiné rezervační a související činnosti</v>
      </c>
      <c r="X91">
        <f>IF(ISNUMBER(SEARCH('1Př1'!$A$34,N91)),MAX($M$2:M90)+1,0)</f>
        <v>89</v>
      </c>
      <c r="Y91" s="287" t="s">
        <v>1077</v>
      </c>
      <c r="Z91" t="str">
        <f>IFERROR(VLOOKUP(ROWS($Z$3:Z91),$X$3:$Y$718,2,0),"")</f>
        <v>Činnosti cest.agentur,kanceláří a jiné rezervační a související činnosti</v>
      </c>
    </row>
    <row r="92" spans="1:26" ht="12.75" customHeight="1">
      <c r="A92" s="263"/>
      <c r="B92" s="263"/>
      <c r="C92" s="263"/>
      <c r="D92" s="279">
        <f>IF(ISNUMBER(SEARCH(ZAKL_DATA!$B$14,E92)),MAX($D$2:D91)+1,0)</f>
        <v>90</v>
      </c>
      <c r="E92" s="291" t="s">
        <v>1078</v>
      </c>
      <c r="F92" s="292">
        <v>2513</v>
      </c>
      <c r="G92" s="293"/>
      <c r="H92" s="294" t="str">
        <f>IFERROR(VLOOKUP(ROWS($H$3:H92),$D$3:$E$204,2,0),"")</f>
        <v>RUMBURK</v>
      </c>
      <c r="I92" s="263"/>
      <c r="J92" s="296" t="s">
        <v>1079</v>
      </c>
      <c r="K92" s="285" t="s">
        <v>1080</v>
      </c>
      <c r="M92" s="286">
        <f>IF(ISNUMBER(SEARCH(ZAKL_DATA!$B$29,N92)),MAX($M$2:M91)+1,0)</f>
        <v>90</v>
      </c>
      <c r="N92" s="791" t="s">
        <v>2199</v>
      </c>
      <c r="O92" s="791" t="s">
        <v>3275</v>
      </c>
      <c r="Q92" s="288" t="str">
        <f>IFERROR(VLOOKUP(ROWS($Q$3:Q92),$M$3:$N$718,2,0),"")</f>
        <v>Faktoringové činnosti</v>
      </c>
      <c r="R92">
        <f>IF(ISNUMBER(SEARCH('1Př1'!$A$32,N92)),MAX($M$2:M91)+1,0)</f>
        <v>90</v>
      </c>
      <c r="S92" s="287" t="s">
        <v>1081</v>
      </c>
      <c r="T92" t="str">
        <f>IFERROR(VLOOKUP(ROWS($T$3:T92),$R$3:$S$718,2,0),"")</f>
        <v>Bezpečnostní a pátrací činnosti</v>
      </c>
      <c r="U92">
        <f>IF(ISNUMBER(SEARCH('1Př1'!$A$33,N92)),MAX($M$2:M91)+1,0)</f>
        <v>90</v>
      </c>
      <c r="V92" s="287" t="s">
        <v>1081</v>
      </c>
      <c r="W92" t="str">
        <f>IFERROR(VLOOKUP(ROWS($W$3:W92),$U$3:$V$718,2,0),"")</f>
        <v>Bezpečnostní a pátrací činnosti</v>
      </c>
      <c r="X92">
        <f>IF(ISNUMBER(SEARCH('1Př1'!$A$34,N92)),MAX($M$2:M91)+1,0)</f>
        <v>90</v>
      </c>
      <c r="Y92" s="287" t="s">
        <v>1081</v>
      </c>
      <c r="Z92" t="str">
        <f>IFERROR(VLOOKUP(ROWS($Z$3:Z92),$X$3:$Y$718,2,0),"")</f>
        <v>Bezpečnostní a pátrací činnosti</v>
      </c>
    </row>
    <row r="93" spans="1:26" ht="12.75" customHeight="1">
      <c r="A93" s="263"/>
      <c r="B93" s="263"/>
      <c r="C93" s="263"/>
      <c r="D93" s="279">
        <f>IF(ISNUMBER(SEARCH(ZAKL_DATA!$B$14,E93)),MAX($D$2:D92)+1,0)</f>
        <v>91</v>
      </c>
      <c r="E93" s="291" t="s">
        <v>1082</v>
      </c>
      <c r="F93" s="292">
        <v>2514</v>
      </c>
      <c r="G93" s="293"/>
      <c r="H93" s="294" t="str">
        <f>IFERROR(VLOOKUP(ROWS($H$3:H93),$D$3:$E$204,2,0),"")</f>
        <v>TEPLICE</v>
      </c>
      <c r="I93" s="263"/>
      <c r="J93" s="296" t="s">
        <v>1083</v>
      </c>
      <c r="K93" s="285" t="s">
        <v>1084</v>
      </c>
      <c r="M93" s="286">
        <f>IF(ISNUMBER(SEARCH(ZAKL_DATA!$B$29,N93)),MAX($M$2:M92)+1,0)</f>
        <v>91</v>
      </c>
      <c r="N93" s="791" t="s">
        <v>2145</v>
      </c>
      <c r="O93" s="791" t="s">
        <v>3276</v>
      </c>
      <c r="Q93" s="288" t="str">
        <f>IFERROR(VLOOKUP(ROWS($Q$3:Q93),$M$3:$N$718,2,0),"")</f>
        <v>Finanční leasing</v>
      </c>
      <c r="R93">
        <f>IF(ISNUMBER(SEARCH('1Př1'!$A$32,N93)),MAX($M$2:M92)+1,0)</f>
        <v>91</v>
      </c>
      <c r="S93" s="287" t="s">
        <v>1085</v>
      </c>
      <c r="T93" t="str">
        <f>IFERROR(VLOOKUP(ROWS($T$3:T93),$R$3:$S$718,2,0),"")</f>
        <v>Činnosti související se stavbami a úpravou krajiny</v>
      </c>
      <c r="U93">
        <f>IF(ISNUMBER(SEARCH('1Př1'!$A$33,N93)),MAX($M$2:M92)+1,0)</f>
        <v>91</v>
      </c>
      <c r="V93" s="287" t="s">
        <v>1085</v>
      </c>
      <c r="W93" t="str">
        <f>IFERROR(VLOOKUP(ROWS($W$3:W93),$U$3:$V$718,2,0),"")</f>
        <v>Činnosti související se stavbami a úpravou krajiny</v>
      </c>
      <c r="X93">
        <f>IF(ISNUMBER(SEARCH('1Př1'!$A$34,N93)),MAX($M$2:M92)+1,0)</f>
        <v>91</v>
      </c>
      <c r="Y93" s="287" t="s">
        <v>1085</v>
      </c>
      <c r="Z93" t="str">
        <f>IFERROR(VLOOKUP(ROWS($Z$3:Z93),$X$3:$Y$718,2,0),"")</f>
        <v>Činnosti související se stavbami a úpravou krajiny</v>
      </c>
    </row>
    <row r="94" spans="1:26" ht="12.75" customHeight="1">
      <c r="A94" s="263"/>
      <c r="B94" s="263"/>
      <c r="C94" s="263"/>
      <c r="D94" s="279">
        <f>IF(ISNUMBER(SEARCH(ZAKL_DATA!$B$14,E94)),MAX($D$2:D93)+1,0)</f>
        <v>92</v>
      </c>
      <c r="E94" s="291" t="s">
        <v>1086</v>
      </c>
      <c r="F94" s="292">
        <v>2515</v>
      </c>
      <c r="G94" s="293"/>
      <c r="H94" s="294" t="str">
        <f>IFERROR(VLOOKUP(ROWS($H$3:H94),$D$3:$E$204,2,0),"")</f>
        <v>ŽATEC</v>
      </c>
      <c r="I94" s="263"/>
      <c r="J94" s="296" t="s">
        <v>1087</v>
      </c>
      <c r="K94" s="285" t="s">
        <v>1088</v>
      </c>
      <c r="M94" s="286">
        <f>IF(ISNUMBER(SEARCH(ZAKL_DATA!$B$29,N94)),MAX($M$2:M93)+1,0)</f>
        <v>92</v>
      </c>
      <c r="N94" s="791" t="s">
        <v>1755</v>
      </c>
      <c r="O94" s="791" t="s">
        <v>3277</v>
      </c>
      <c r="Q94" s="288" t="str">
        <f>IFERROR(VLOOKUP(ROWS($Q$3:Q94),$M$3:$N$718,2,0),"")</f>
        <v>Fotografické činnosti</v>
      </c>
      <c r="R94">
        <f>IF(ISNUMBER(SEARCH('1Př1'!$A$32,N94)),MAX($M$2:M93)+1,0)</f>
        <v>92</v>
      </c>
      <c r="S94" s="287" t="s">
        <v>1089</v>
      </c>
      <c r="T94" t="str">
        <f>IFERROR(VLOOKUP(ROWS($T$3:T94),$R$3:$S$718,2,0),"")</f>
        <v>Dobývání kamene, písků a jílů</v>
      </c>
      <c r="U94">
        <f>IF(ISNUMBER(SEARCH('1Př1'!$A$33,N94)),MAX($M$2:M93)+1,0)</f>
        <v>92</v>
      </c>
      <c r="V94" s="287" t="s">
        <v>1089</v>
      </c>
      <c r="W94" t="str">
        <f>IFERROR(VLOOKUP(ROWS($W$3:W94),$U$3:$V$718,2,0),"")</f>
        <v>Dobývání kamene, písků a jílů</v>
      </c>
      <c r="X94">
        <f>IF(ISNUMBER(SEARCH('1Př1'!$A$34,N94)),MAX($M$2:M93)+1,0)</f>
        <v>92</v>
      </c>
      <c r="Y94" s="287" t="s">
        <v>1089</v>
      </c>
      <c r="Z94" t="str">
        <f>IFERROR(VLOOKUP(ROWS($Z$3:Z94),$X$3:$Y$718,2,0),"")</f>
        <v>Dobývání kamene, písků a jílů</v>
      </c>
    </row>
    <row r="95" spans="1:26" ht="12.75" customHeight="1">
      <c r="A95" s="263"/>
      <c r="B95" s="263"/>
      <c r="C95" s="263"/>
      <c r="D95" s="279">
        <f>IF(ISNUMBER(SEARCH(ZAKL_DATA!$B$14,E95)),MAX($D$2:D94)+1,0)</f>
        <v>93</v>
      </c>
      <c r="E95" s="291" t="s">
        <v>1090</v>
      </c>
      <c r="F95" s="292">
        <v>2601</v>
      </c>
      <c r="G95" s="293"/>
      <c r="H95" s="294" t="str">
        <f>IFERROR(VLOOKUP(ROWS($H$3:H95),$D$3:$E$204,2,0),"")</f>
        <v>LIBEREC</v>
      </c>
      <c r="I95" s="263"/>
      <c r="J95" s="296" t="s">
        <v>1091</v>
      </c>
      <c r="K95" s="285" t="s">
        <v>1092</v>
      </c>
      <c r="M95" s="286">
        <f>IF(ISNUMBER(SEARCH(ZAKL_DATA!$B$29,N95)),MAX($M$2:M94)+1,0)</f>
        <v>93</v>
      </c>
      <c r="N95" s="791" t="s">
        <v>3278</v>
      </c>
      <c r="O95" s="791" t="s">
        <v>3279</v>
      </c>
      <c r="Q95" s="288" t="str">
        <f>IFERROR(VLOOKUP(ROWS($Q$3:Q95),$M$3:$N$718,2,0),"")</f>
        <v>Hudební tvorba</v>
      </c>
      <c r="R95">
        <f>IF(ISNUMBER(SEARCH('1Př1'!$A$32,N95)),MAX($M$2:M94)+1,0)</f>
        <v>93</v>
      </c>
      <c r="S95" s="287" t="s">
        <v>1093</v>
      </c>
      <c r="T95" t="str">
        <f>IFERROR(VLOOKUP(ROWS($T$3:T95),$R$3:$S$718,2,0),"")</f>
        <v>Administrativní, kancelářské a jiné podpůrné činnosti pro podnikání</v>
      </c>
      <c r="U95">
        <f>IF(ISNUMBER(SEARCH('1Př1'!$A$33,N95)),MAX($M$2:M94)+1,0)</f>
        <v>93</v>
      </c>
      <c r="V95" s="287" t="s">
        <v>1093</v>
      </c>
      <c r="W95" t="str">
        <f>IFERROR(VLOOKUP(ROWS($W$3:W95),$U$3:$V$718,2,0),"")</f>
        <v>Administrativní, kancelářské a jiné podpůrné činnosti pro podnikání</v>
      </c>
      <c r="X95">
        <f>IF(ISNUMBER(SEARCH('1Př1'!$A$34,N95)),MAX($M$2:M94)+1,0)</f>
        <v>93</v>
      </c>
      <c r="Y95" s="287" t="s">
        <v>1093</v>
      </c>
      <c r="Z95" t="str">
        <f>IFERROR(VLOOKUP(ROWS($Z$3:Z95),$X$3:$Y$718,2,0),"")</f>
        <v>Administrativní, kancelářské a jiné podpůrné činnosti pro podnikání</v>
      </c>
    </row>
    <row r="96" spans="1:26" ht="12.75" customHeight="1">
      <c r="A96" s="263"/>
      <c r="B96" s="263"/>
      <c r="C96" s="263"/>
      <c r="D96" s="279">
        <f>IF(ISNUMBER(SEARCH(ZAKL_DATA!$B$14,E96)),MAX($D$2:D95)+1,0)</f>
        <v>94</v>
      </c>
      <c r="E96" s="291" t="s">
        <v>1094</v>
      </c>
      <c r="F96" s="292">
        <v>2602</v>
      </c>
      <c r="G96" s="293"/>
      <c r="H96" s="294" t="str">
        <f>IFERROR(VLOOKUP(ROWS($H$3:H96),$D$3:$E$204,2,0),"")</f>
        <v>ČESKÁ LÍPA</v>
      </c>
      <c r="I96" s="263"/>
      <c r="J96" s="296" t="s">
        <v>1095</v>
      </c>
      <c r="K96" s="285" t="s">
        <v>1096</v>
      </c>
      <c r="M96" s="286">
        <f>IF(ISNUMBER(SEARCH(ZAKL_DATA!$B$29,N96)),MAX($M$2:M95)+1,0)</f>
        <v>94</v>
      </c>
      <c r="N96" s="791" t="s">
        <v>1321</v>
      </c>
      <c r="O96" s="791" t="s">
        <v>3280</v>
      </c>
      <c r="Q96" s="288" t="str">
        <f>IFERROR(VLOOKUP(ROWS($Q$3:Q96),$M$3:$N$718,2,0),"")</f>
        <v>Chov drůbeže</v>
      </c>
      <c r="R96">
        <f>IF(ISNUMBER(SEARCH('1Př1'!$A$32,N96)),MAX($M$2:M95)+1,0)</f>
        <v>94</v>
      </c>
      <c r="S96" s="287" t="s">
        <v>1097</v>
      </c>
      <c r="T96" t="str">
        <f>IFERROR(VLOOKUP(ROWS($T$3:T96),$R$3:$S$718,2,0),"")</f>
        <v>Veřejná správa a obrana; povinné sociální zabezpečení</v>
      </c>
      <c r="U96">
        <f>IF(ISNUMBER(SEARCH('1Př1'!$A$33,N96)),MAX($M$2:M95)+1,0)</f>
        <v>94</v>
      </c>
      <c r="V96" s="287" t="s">
        <v>1097</v>
      </c>
      <c r="W96" t="str">
        <f>IFERROR(VLOOKUP(ROWS($W$3:W96),$U$3:$V$718,2,0),"")</f>
        <v>Veřejná správa a obrana; povinné sociální zabezpečení</v>
      </c>
      <c r="X96">
        <f>IF(ISNUMBER(SEARCH('1Př1'!$A$34,N96)),MAX($M$2:M95)+1,0)</f>
        <v>94</v>
      </c>
      <c r="Y96" s="287" t="s">
        <v>1097</v>
      </c>
      <c r="Z96" t="str">
        <f>IFERROR(VLOOKUP(ROWS($Z$3:Z96),$X$3:$Y$718,2,0),"")</f>
        <v>Veřejná správa a obrana; povinné sociální zabezpečení</v>
      </c>
    </row>
    <row r="97" spans="1:26" ht="12.75" customHeight="1">
      <c r="A97" s="263"/>
      <c r="B97" s="263"/>
      <c r="C97" s="263"/>
      <c r="D97" s="279">
        <f>IF(ISNUMBER(SEARCH(ZAKL_DATA!$B$14,E97)),MAX($D$2:D96)+1,0)</f>
        <v>95</v>
      </c>
      <c r="E97" s="291" t="s">
        <v>1098</v>
      </c>
      <c r="F97" s="292">
        <v>2603</v>
      </c>
      <c r="G97" s="293"/>
      <c r="H97" s="294" t="str">
        <f>IFERROR(VLOOKUP(ROWS($H$3:H97),$D$3:$E$204,2,0),"")</f>
        <v>FRÝDLANT</v>
      </c>
      <c r="I97" s="263"/>
      <c r="J97" s="296" t="s">
        <v>1099</v>
      </c>
      <c r="K97" s="285" t="s">
        <v>1100</v>
      </c>
      <c r="M97" s="286">
        <f>IF(ISNUMBER(SEARCH(ZAKL_DATA!$B$29,N97)),MAX($M$2:M96)+1,0)</f>
        <v>95</v>
      </c>
      <c r="N97" s="791" t="s">
        <v>3281</v>
      </c>
      <c r="O97" s="791" t="s">
        <v>3282</v>
      </c>
      <c r="Q97" s="288" t="str">
        <f>IFERROR(VLOOKUP(ROWS($Q$3:Q97),$M$3:$N$718,2,0),"")</f>
        <v>Chov koní a ostatních koňovitých</v>
      </c>
      <c r="R97">
        <f>IF(ISNUMBER(SEARCH('1Př1'!$A$32,N97)),MAX($M$2:M96)+1,0)</f>
        <v>95</v>
      </c>
      <c r="S97" s="287" t="s">
        <v>1101</v>
      </c>
      <c r="T97" t="str">
        <f>IFERROR(VLOOKUP(ROWS($T$3:T97),$R$3:$S$718,2,0),"")</f>
        <v>Vzdělávání</v>
      </c>
      <c r="U97">
        <f>IF(ISNUMBER(SEARCH('1Př1'!$A$33,N97)),MAX($M$2:M96)+1,0)</f>
        <v>95</v>
      </c>
      <c r="V97" s="287" t="s">
        <v>1101</v>
      </c>
      <c r="W97" t="str">
        <f>IFERROR(VLOOKUP(ROWS($W$3:W97),$U$3:$V$718,2,0),"")</f>
        <v>Vzdělávání</v>
      </c>
      <c r="X97">
        <f>IF(ISNUMBER(SEARCH('1Př1'!$A$34,N97)),MAX($M$2:M96)+1,0)</f>
        <v>95</v>
      </c>
      <c r="Y97" s="287" t="s">
        <v>1101</v>
      </c>
      <c r="Z97" t="str">
        <f>IFERROR(VLOOKUP(ROWS($Z$3:Z97),$X$3:$Y$718,2,0),"")</f>
        <v>Vzdělávání</v>
      </c>
    </row>
    <row r="98" spans="1:26" ht="12.75" customHeight="1">
      <c r="A98" s="263"/>
      <c r="B98" s="263"/>
      <c r="C98" s="263"/>
      <c r="D98" s="279">
        <f>IF(ISNUMBER(SEARCH(ZAKL_DATA!$B$14,E98)),MAX($D$2:D97)+1,0)</f>
        <v>96</v>
      </c>
      <c r="E98" s="291" t="s">
        <v>1102</v>
      </c>
      <c r="F98" s="292">
        <v>2604</v>
      </c>
      <c r="G98" s="293"/>
      <c r="H98" s="294" t="str">
        <f>IFERROR(VLOOKUP(ROWS($H$3:H98),$D$3:$E$204,2,0),"")</f>
        <v>JABLONEC NAD NISOU</v>
      </c>
      <c r="I98" s="263"/>
      <c r="J98" s="296" t="s">
        <v>1103</v>
      </c>
      <c r="K98" s="285" t="s">
        <v>1104</v>
      </c>
      <c r="M98" s="286">
        <f>IF(ISNUMBER(SEARCH(ZAKL_DATA!$B$29,N98)),MAX($M$2:M97)+1,0)</f>
        <v>96</v>
      </c>
      <c r="N98" s="791" t="s">
        <v>1289</v>
      </c>
      <c r="O98" s="791" t="s">
        <v>3283</v>
      </c>
      <c r="Q98" s="288" t="str">
        <f>IFERROR(VLOOKUP(ROWS($Q$3:Q98),$M$3:$N$718,2,0),"")</f>
        <v>Chov mléčného skotu</v>
      </c>
      <c r="R98">
        <f>IF(ISNUMBER(SEARCH('1Př1'!$A$32,N98)),MAX($M$2:M97)+1,0)</f>
        <v>96</v>
      </c>
      <c r="S98" s="287" t="s">
        <v>1105</v>
      </c>
      <c r="T98" t="str">
        <f>IFERROR(VLOOKUP(ROWS($T$3:T98),$R$3:$S$718,2,0),"")</f>
        <v>Zdravotní péče</v>
      </c>
      <c r="U98">
        <f>IF(ISNUMBER(SEARCH('1Př1'!$A$33,N98)),MAX($M$2:M97)+1,0)</f>
        <v>96</v>
      </c>
      <c r="V98" s="287" t="s">
        <v>1105</v>
      </c>
      <c r="W98" t="str">
        <f>IFERROR(VLOOKUP(ROWS($W$3:W98),$U$3:$V$718,2,0),"")</f>
        <v>Zdravotní péče</v>
      </c>
      <c r="X98">
        <f>IF(ISNUMBER(SEARCH('1Př1'!$A$34,N98)),MAX($M$2:M97)+1,0)</f>
        <v>96</v>
      </c>
      <c r="Y98" s="287" t="s">
        <v>1105</v>
      </c>
      <c r="Z98" t="str">
        <f>IFERROR(VLOOKUP(ROWS($Z$3:Z98),$X$3:$Y$718,2,0),"")</f>
        <v>Zdravotní péče</v>
      </c>
    </row>
    <row r="99" spans="1:26" ht="12.75" customHeight="1">
      <c r="A99" s="263"/>
      <c r="B99" s="263"/>
      <c r="C99" s="263"/>
      <c r="D99" s="279">
        <f>IF(ISNUMBER(SEARCH(ZAKL_DATA!$B$14,E99)),MAX($D$2:D98)+1,0)</f>
        <v>97</v>
      </c>
      <c r="E99" s="291" t="s">
        <v>1106</v>
      </c>
      <c r="F99" s="292">
        <v>2605</v>
      </c>
      <c r="G99" s="293"/>
      <c r="H99" s="294" t="str">
        <f>IFERROR(VLOOKUP(ROWS($H$3:H99),$D$3:$E$204,2,0),"")</f>
        <v>JILEMNICE</v>
      </c>
      <c r="I99" s="263"/>
      <c r="J99" s="296" t="s">
        <v>1107</v>
      </c>
      <c r="K99" s="285" t="s">
        <v>1108</v>
      </c>
      <c r="M99" s="286">
        <f>IF(ISNUMBER(SEARCH(ZAKL_DATA!$B$29,N99)),MAX($M$2:M98)+1,0)</f>
        <v>97</v>
      </c>
      <c r="N99" s="791" t="s">
        <v>3284</v>
      </c>
      <c r="O99" s="791" t="s">
        <v>3285</v>
      </c>
      <c r="Q99" s="288" t="str">
        <f>IFERROR(VLOOKUP(ROWS($Q$3:Q99),$M$3:$N$718,2,0),"")</f>
        <v>Chov ostatního skotu a buvolů</v>
      </c>
      <c r="R99">
        <f>IF(ISNUMBER(SEARCH('1Př1'!$A$32,N99)),MAX($M$2:M98)+1,0)</f>
        <v>97</v>
      </c>
      <c r="S99" s="287" t="s">
        <v>1109</v>
      </c>
      <c r="T99" t="str">
        <f>IFERROR(VLOOKUP(ROWS($T$3:T99),$R$3:$S$718,2,0),"")</f>
        <v>Pobytové služby sociální péče</v>
      </c>
      <c r="U99">
        <f>IF(ISNUMBER(SEARCH('1Př1'!$A$33,N99)),MAX($M$2:M98)+1,0)</f>
        <v>97</v>
      </c>
      <c r="V99" s="287" t="s">
        <v>1109</v>
      </c>
      <c r="W99" t="str">
        <f>IFERROR(VLOOKUP(ROWS($W$3:W99),$U$3:$V$718,2,0),"")</f>
        <v>Pobytové služby sociální péče</v>
      </c>
      <c r="X99">
        <f>IF(ISNUMBER(SEARCH('1Př1'!$A$34,N99)),MAX($M$2:M98)+1,0)</f>
        <v>97</v>
      </c>
      <c r="Y99" s="287" t="s">
        <v>1109</v>
      </c>
      <c r="Z99" t="str">
        <f>IFERROR(VLOOKUP(ROWS($Z$3:Z99),$X$3:$Y$718,2,0),"")</f>
        <v>Pobytové služby sociální péče</v>
      </c>
    </row>
    <row r="100" spans="1:26" ht="12.75" customHeight="1">
      <c r="A100" s="263"/>
      <c r="B100" s="263"/>
      <c r="C100" s="263"/>
      <c r="D100" s="279">
        <f>IF(ISNUMBER(SEARCH(ZAKL_DATA!$B$14,E100)),MAX($D$2:D99)+1,0)</f>
        <v>98</v>
      </c>
      <c r="E100" s="291" t="s">
        <v>1110</v>
      </c>
      <c r="F100" s="292">
        <v>2606</v>
      </c>
      <c r="G100" s="293"/>
      <c r="H100" s="294" t="str">
        <f>IFERROR(VLOOKUP(ROWS($H$3:H100),$D$3:$E$204,2,0),"")</f>
        <v>NOVÝ BOR</v>
      </c>
      <c r="I100" s="263"/>
      <c r="J100" s="296" t="s">
        <v>1111</v>
      </c>
      <c r="K100" s="285" t="s">
        <v>1112</v>
      </c>
      <c r="M100" s="286">
        <f>IF(ISNUMBER(SEARCH(ZAKL_DATA!$B$29,N100)),MAX($M$2:M99)+1,0)</f>
        <v>98</v>
      </c>
      <c r="N100" s="791" t="s">
        <v>1325</v>
      </c>
      <c r="O100" s="791" t="s">
        <v>3286</v>
      </c>
      <c r="Q100" s="288" t="str">
        <f>IFERROR(VLOOKUP(ROWS($Q$3:Q100),$M$3:$N$718,2,0),"")</f>
        <v>Chov ostatních zvířat</v>
      </c>
      <c r="R100">
        <f>IF(ISNUMBER(SEARCH('1Př1'!$A$32,N100)),MAX($M$2:M99)+1,0)</f>
        <v>98</v>
      </c>
      <c r="S100" s="287" t="s">
        <v>1113</v>
      </c>
      <c r="T100" t="str">
        <f>IFERROR(VLOOKUP(ROWS($T$3:T100),$R$3:$S$718,2,0),"")</f>
        <v>Ambulantní nebo terénní sociální služby</v>
      </c>
      <c r="U100">
        <f>IF(ISNUMBER(SEARCH('1Př1'!$A$33,N100)),MAX($M$2:M99)+1,0)</f>
        <v>98</v>
      </c>
      <c r="V100" s="287" t="s">
        <v>1113</v>
      </c>
      <c r="W100" t="str">
        <f>IFERROR(VLOOKUP(ROWS($W$3:W100),$U$3:$V$718,2,0),"")</f>
        <v>Ambulantní nebo terénní sociální služby</v>
      </c>
      <c r="X100">
        <f>IF(ISNUMBER(SEARCH('1Př1'!$A$34,N100)),MAX($M$2:M99)+1,0)</f>
        <v>98</v>
      </c>
      <c r="Y100" s="287" t="s">
        <v>1113</v>
      </c>
      <c r="Z100" t="str">
        <f>IFERROR(VLOOKUP(ROWS($Z$3:Z100),$X$3:$Y$718,2,0),"")</f>
        <v>Ambulantní nebo terénní sociální služby</v>
      </c>
    </row>
    <row r="101" spans="1:26" ht="12.75" customHeight="1">
      <c r="A101" s="263"/>
      <c r="B101" s="263"/>
      <c r="C101" s="263"/>
      <c r="D101" s="279">
        <f>IF(ISNUMBER(SEARCH(ZAKL_DATA!$B$14,E101)),MAX($D$2:D100)+1,0)</f>
        <v>99</v>
      </c>
      <c r="E101" s="291" t="s">
        <v>1114</v>
      </c>
      <c r="F101" s="292">
        <v>2607</v>
      </c>
      <c r="G101" s="293"/>
      <c r="H101" s="294" t="str">
        <f>IFERROR(VLOOKUP(ROWS($H$3:H101),$D$3:$E$204,2,0),"")</f>
        <v>SEMILY</v>
      </c>
      <c r="I101" s="263"/>
      <c r="J101" s="296" t="s">
        <v>1115</v>
      </c>
      <c r="K101" s="285" t="s">
        <v>1116</v>
      </c>
      <c r="M101" s="286">
        <f>IF(ISNUMBER(SEARCH(ZAKL_DATA!$B$29,N101)),MAX($M$2:M100)+1,0)</f>
        <v>99</v>
      </c>
      <c r="N101" s="791" t="s">
        <v>1313</v>
      </c>
      <c r="O101" s="791" t="s">
        <v>3287</v>
      </c>
      <c r="Q101" s="288" t="str">
        <f>IFERROR(VLOOKUP(ROWS($Q$3:Q101),$M$3:$N$718,2,0),"")</f>
        <v>Chov ovcí a koz</v>
      </c>
      <c r="R101">
        <f>IF(ISNUMBER(SEARCH('1Př1'!$A$32,N101)),MAX($M$2:M100)+1,0)</f>
        <v>99</v>
      </c>
      <c r="S101" s="287" t="s">
        <v>1117</v>
      </c>
      <c r="T101" t="str">
        <f>IFERROR(VLOOKUP(ROWS($T$3:T101),$R$3:$S$718,2,0),"")</f>
        <v>Těžba a dobývání j. n.</v>
      </c>
      <c r="U101">
        <f>IF(ISNUMBER(SEARCH('1Př1'!$A$33,N101)),MAX($M$2:M100)+1,0)</f>
        <v>99</v>
      </c>
      <c r="V101" s="287" t="s">
        <v>1117</v>
      </c>
      <c r="W101" t="str">
        <f>IFERROR(VLOOKUP(ROWS($W$3:W101),$U$3:$V$718,2,0),"")</f>
        <v>Těžba a dobývání j. n.</v>
      </c>
      <c r="X101">
        <f>IF(ISNUMBER(SEARCH('1Př1'!$A$34,N101)),MAX($M$2:M100)+1,0)</f>
        <v>99</v>
      </c>
      <c r="Y101" s="287" t="s">
        <v>1117</v>
      </c>
      <c r="Z101" t="str">
        <f>IFERROR(VLOOKUP(ROWS($Z$3:Z101),$X$3:$Y$718,2,0),"")</f>
        <v>Těžba a dobývání j. n.</v>
      </c>
    </row>
    <row r="102" spans="1:26" ht="12.75" customHeight="1">
      <c r="A102" s="263"/>
      <c r="B102" s="263"/>
      <c r="C102" s="263"/>
      <c r="D102" s="279">
        <f>IF(ISNUMBER(SEARCH(ZAKL_DATA!$B$14,E102)),MAX($D$2:D101)+1,0)</f>
        <v>100</v>
      </c>
      <c r="E102" s="291" t="s">
        <v>1118</v>
      </c>
      <c r="F102" s="292">
        <v>2608</v>
      </c>
      <c r="G102" s="293"/>
      <c r="H102" s="294" t="str">
        <f>IFERROR(VLOOKUP(ROWS($H$3:H102),$D$3:$E$204,2,0),"")</f>
        <v>TANVALD</v>
      </c>
      <c r="I102" s="263"/>
      <c r="J102" s="296" t="s">
        <v>1119</v>
      </c>
      <c r="K102" s="285" t="s">
        <v>1120</v>
      </c>
      <c r="M102" s="286">
        <f>IF(ISNUMBER(SEARCH(ZAKL_DATA!$B$29,N102)),MAX($M$2:M101)+1,0)</f>
        <v>100</v>
      </c>
      <c r="N102" s="791" t="s">
        <v>1317</v>
      </c>
      <c r="O102" s="791" t="s">
        <v>3288</v>
      </c>
      <c r="Q102" s="288" t="str">
        <f>IFERROR(VLOOKUP(ROWS($Q$3:Q102),$M$3:$N$718,2,0),"")</f>
        <v>Chov prasat</v>
      </c>
      <c r="R102">
        <f>IF(ISNUMBER(SEARCH('1Př1'!$A$32,N102)),MAX($M$2:M101)+1,0)</f>
        <v>100</v>
      </c>
      <c r="S102" s="287" t="s">
        <v>1121</v>
      </c>
      <c r="T102" t="str">
        <f>IFERROR(VLOOKUP(ROWS($T$3:T102),$R$3:$S$718,2,0),"")</f>
        <v>Tvůrčí, umělecké a zábavní činnosti</v>
      </c>
      <c r="U102">
        <f>IF(ISNUMBER(SEARCH('1Př1'!$A$33,N102)),MAX($M$2:M101)+1,0)</f>
        <v>100</v>
      </c>
      <c r="V102" s="287" t="s">
        <v>1121</v>
      </c>
      <c r="W102" t="str">
        <f>IFERROR(VLOOKUP(ROWS($W$3:W102),$U$3:$V$718,2,0),"")</f>
        <v>Tvůrčí, umělecké a zábavní činnosti</v>
      </c>
      <c r="X102">
        <f>IF(ISNUMBER(SEARCH('1Př1'!$A$34,N102)),MAX($M$2:M101)+1,0)</f>
        <v>100</v>
      </c>
      <c r="Y102" s="287" t="s">
        <v>1121</v>
      </c>
      <c r="Z102" t="str">
        <f>IFERROR(VLOOKUP(ROWS($Z$3:Z102),$X$3:$Y$718,2,0),"")</f>
        <v>Tvůrčí, umělecké a zábavní činnosti</v>
      </c>
    </row>
    <row r="103" spans="1:26" ht="12.75" customHeight="1">
      <c r="A103" s="263"/>
      <c r="B103" s="263"/>
      <c r="C103" s="263"/>
      <c r="D103" s="279">
        <f>IF(ISNUMBER(SEARCH(ZAKL_DATA!$B$14,E103)),MAX($D$2:D102)+1,0)</f>
        <v>101</v>
      </c>
      <c r="E103" s="291" t="s">
        <v>1122</v>
      </c>
      <c r="F103" s="292">
        <v>2609</v>
      </c>
      <c r="G103" s="293"/>
      <c r="H103" s="294" t="str">
        <f>IFERROR(VLOOKUP(ROWS($H$3:H103),$D$3:$E$204,2,0),"")</f>
        <v>TURNOV</v>
      </c>
      <c r="I103" s="263"/>
      <c r="J103" s="296" t="s">
        <v>1123</v>
      </c>
      <c r="K103" s="285" t="s">
        <v>1124</v>
      </c>
      <c r="M103" s="286">
        <f>IF(ISNUMBER(SEARCH(ZAKL_DATA!$B$29,N103)),MAX($M$2:M102)+1,0)</f>
        <v>101</v>
      </c>
      <c r="N103" s="791" t="s">
        <v>1309</v>
      </c>
      <c r="O103" s="791" t="s">
        <v>3289</v>
      </c>
      <c r="Q103" s="288" t="str">
        <f>IFERROR(VLOOKUP(ROWS($Q$3:Q103),$M$3:$N$718,2,0),"")</f>
        <v>Chov velbloudů a velbloudovitých</v>
      </c>
      <c r="R103">
        <f>IF(ISNUMBER(SEARCH('1Př1'!$A$32,N103)),MAX($M$2:M102)+1,0)</f>
        <v>101</v>
      </c>
      <c r="S103" s="287" t="s">
        <v>1125</v>
      </c>
      <c r="T103" t="str">
        <f>IFERROR(VLOOKUP(ROWS($T$3:T103),$R$3:$S$718,2,0),"")</f>
        <v>Činnosti knihoven, archivů, muzeí a jiných kulturních zařízení</v>
      </c>
      <c r="U103">
        <f>IF(ISNUMBER(SEARCH('1Př1'!$A$33,N103)),MAX($M$2:M102)+1,0)</f>
        <v>101</v>
      </c>
      <c r="V103" s="287" t="s">
        <v>1125</v>
      </c>
      <c r="W103" t="str">
        <f>IFERROR(VLOOKUP(ROWS($W$3:W103),$U$3:$V$718,2,0),"")</f>
        <v>Činnosti knihoven, archivů, muzeí a jiných kulturních zařízení</v>
      </c>
      <c r="X103">
        <f>IF(ISNUMBER(SEARCH('1Př1'!$A$34,N103)),MAX($M$2:M102)+1,0)</f>
        <v>101</v>
      </c>
      <c r="Y103" s="287" t="s">
        <v>1125</v>
      </c>
      <c r="Z103" t="str">
        <f>IFERROR(VLOOKUP(ROWS($Z$3:Z103),$X$3:$Y$718,2,0),"")</f>
        <v>Činnosti knihoven, archivů, muzeí a jiných kulturních zařízení</v>
      </c>
    </row>
    <row r="104" spans="1:26" ht="12.75" customHeight="1">
      <c r="A104" s="263"/>
      <c r="B104" s="263"/>
      <c r="C104" s="263"/>
      <c r="D104" s="279">
        <f>IF(ISNUMBER(SEARCH(ZAKL_DATA!$B$14,E104)),MAX($D$2:D103)+1,0)</f>
        <v>102</v>
      </c>
      <c r="E104" s="291" t="s">
        <v>1126</v>
      </c>
      <c r="F104" s="292">
        <v>2610</v>
      </c>
      <c r="G104" s="293"/>
      <c r="H104" s="294" t="str">
        <f>IFERROR(VLOOKUP(ROWS($H$3:H104),$D$3:$E$204,2,0),"")</f>
        <v>ŽELEZNÝ BROD</v>
      </c>
      <c r="I104" s="263"/>
      <c r="J104" s="296" t="s">
        <v>1127</v>
      </c>
      <c r="K104" s="285" t="s">
        <v>1128</v>
      </c>
      <c r="M104" s="286">
        <f>IF(ISNUMBER(SEARCH(ZAKL_DATA!$B$29,N104)),MAX($M$2:M103)+1,0)</f>
        <v>102</v>
      </c>
      <c r="N104" s="791" t="s">
        <v>2168</v>
      </c>
      <c r="O104" s="791" t="s">
        <v>3290</v>
      </c>
      <c r="Q104" s="288" t="str">
        <f>IFERROR(VLOOKUP(ROWS($Q$3:Q104),$M$3:$N$718,2,0),"")</f>
        <v>Inkasní činnosti, ověřování solventnosti zákazníka</v>
      </c>
      <c r="R104">
        <f>IF(ISNUMBER(SEARCH('1Př1'!$A$32,N104)),MAX($M$2:M103)+1,0)</f>
        <v>102</v>
      </c>
      <c r="S104" s="287" t="s">
        <v>1129</v>
      </c>
      <c r="T104" t="str">
        <f>IFERROR(VLOOKUP(ROWS($T$3:T104),$R$3:$S$718,2,0),"")</f>
        <v>Podpůrné činnosti při těžbě ropy a zemního plynu</v>
      </c>
      <c r="U104">
        <f>IF(ISNUMBER(SEARCH('1Př1'!$A$33,N104)),MAX($M$2:M103)+1,0)</f>
        <v>102</v>
      </c>
      <c r="V104" s="287" t="s">
        <v>1129</v>
      </c>
      <c r="W104" t="str">
        <f>IFERROR(VLOOKUP(ROWS($W$3:W104),$U$3:$V$718,2,0),"")</f>
        <v>Podpůrné činnosti při těžbě ropy a zemního plynu</v>
      </c>
      <c r="X104">
        <f>IF(ISNUMBER(SEARCH('1Př1'!$A$34,N104)),MAX($M$2:M103)+1,0)</f>
        <v>102</v>
      </c>
      <c r="Y104" s="287" t="s">
        <v>1129</v>
      </c>
      <c r="Z104" t="str">
        <f>IFERROR(VLOOKUP(ROWS($Z$3:Z104),$X$3:$Y$718,2,0),"")</f>
        <v>Podpůrné činnosti při těžbě ropy a zemního plynu</v>
      </c>
    </row>
    <row r="105" spans="1:26" ht="12.75" customHeight="1">
      <c r="A105" s="263"/>
      <c r="B105" s="263"/>
      <c r="C105" s="263"/>
      <c r="D105" s="279">
        <f>IF(ISNUMBER(SEARCH(ZAKL_DATA!$B$14,E105)),MAX($D$2:D104)+1,0)</f>
        <v>103</v>
      </c>
      <c r="E105" s="291" t="s">
        <v>1130</v>
      </c>
      <c r="F105" s="292">
        <v>2701</v>
      </c>
      <c r="G105" s="293"/>
      <c r="H105" s="294" t="str">
        <f>IFERROR(VLOOKUP(ROWS($H$3:H105),$D$3:$E$204,2,0),"")</f>
        <v>HRADEC KRÁLOVÉ</v>
      </c>
      <c r="I105" s="263"/>
      <c r="J105" s="296" t="s">
        <v>1131</v>
      </c>
      <c r="K105" s="285" t="s">
        <v>1132</v>
      </c>
      <c r="M105" s="286">
        <f>IF(ISNUMBER(SEARCH(ZAKL_DATA!$B$29,N105)),MAX($M$2:M104)+1,0)</f>
        <v>103</v>
      </c>
      <c r="N105" s="791" t="s">
        <v>3291</v>
      </c>
      <c r="O105" s="791" t="s">
        <v>3292</v>
      </c>
      <c r="Q105" s="288" t="str">
        <f>IFERROR(VLOOKUP(ROWS($Q$3:Q105),$M$3:$N$718,2,0),"")</f>
        <v>Instalace izolací</v>
      </c>
      <c r="R105">
        <f>IF(ISNUMBER(SEARCH('1Př1'!$A$32,N105)),MAX($M$2:M104)+1,0)</f>
        <v>103</v>
      </c>
      <c r="S105" s="287" t="s">
        <v>1133</v>
      </c>
      <c r="T105" t="str">
        <f>IFERROR(VLOOKUP(ROWS($T$3:T105),$R$3:$S$718,2,0),"")</f>
        <v>Činnosti heren, kasin a sázkových kanceláří</v>
      </c>
      <c r="U105">
        <f>IF(ISNUMBER(SEARCH('1Př1'!$A$33,N105)),MAX($M$2:M104)+1,0)</f>
        <v>103</v>
      </c>
      <c r="V105" s="287" t="s">
        <v>1133</v>
      </c>
      <c r="W105" t="str">
        <f>IFERROR(VLOOKUP(ROWS($W$3:W105),$U$3:$V$718,2,0),"")</f>
        <v>Činnosti heren, kasin a sázkových kanceláří</v>
      </c>
      <c r="X105">
        <f>IF(ISNUMBER(SEARCH('1Př1'!$A$34,N105)),MAX($M$2:M104)+1,0)</f>
        <v>103</v>
      </c>
      <c r="Y105" s="287" t="s">
        <v>1133</v>
      </c>
      <c r="Z105" t="str">
        <f>IFERROR(VLOOKUP(ROWS($Z$3:Z105),$X$3:$Y$718,2,0),"")</f>
        <v>Činnosti heren, kasin a sázkových kanceláří</v>
      </c>
    </row>
    <row r="106" spans="1:26" ht="12.75" customHeight="1">
      <c r="A106" s="263"/>
      <c r="B106" s="263"/>
      <c r="C106" s="263"/>
      <c r="D106" s="279">
        <f>IF(ISNUMBER(SEARCH(ZAKL_DATA!$B$14,E106)),MAX($D$2:D105)+1,0)</f>
        <v>104</v>
      </c>
      <c r="E106" s="291" t="s">
        <v>1134</v>
      </c>
      <c r="F106" s="292">
        <v>2702</v>
      </c>
      <c r="G106" s="293"/>
      <c r="H106" s="294" t="str">
        <f>IFERROR(VLOOKUP(ROWS($H$3:H106),$D$3:$E$204,2,0),"")</f>
        <v>BROUMOV</v>
      </c>
      <c r="I106" s="263"/>
      <c r="J106" s="296" t="s">
        <v>1135</v>
      </c>
      <c r="K106" s="285" t="s">
        <v>1136</v>
      </c>
      <c r="M106" s="286">
        <f>IF(ISNUMBER(SEARCH(ZAKL_DATA!$B$29,N106)),MAX($M$2:M105)+1,0)</f>
        <v>104</v>
      </c>
      <c r="N106" s="791" t="s">
        <v>1627</v>
      </c>
      <c r="O106" s="791" t="s">
        <v>3293</v>
      </c>
      <c r="Q106" s="288" t="str">
        <f>IFERROR(VLOOKUP(ROWS($Q$3:Q106),$M$3:$N$718,2,0),"")</f>
        <v>Instalace průmyslových strojů a zařízení</v>
      </c>
      <c r="R106">
        <f>IF(ISNUMBER(SEARCH('1Př1'!$A$32,N106)),MAX($M$2:M105)+1,0)</f>
        <v>104</v>
      </c>
      <c r="S106" s="287" t="s">
        <v>1137</v>
      </c>
      <c r="T106" t="str">
        <f>IFERROR(VLOOKUP(ROWS($T$3:T106),$R$3:$S$718,2,0),"")</f>
        <v>Sportovní, zábavní a rekreační činnosti</v>
      </c>
      <c r="U106">
        <f>IF(ISNUMBER(SEARCH('1Př1'!$A$33,N106)),MAX($M$2:M105)+1,0)</f>
        <v>104</v>
      </c>
      <c r="V106" s="287" t="s">
        <v>1137</v>
      </c>
      <c r="W106" t="str">
        <f>IFERROR(VLOOKUP(ROWS($W$3:W106),$U$3:$V$718,2,0),"")</f>
        <v>Sportovní, zábavní a rekreační činnosti</v>
      </c>
      <c r="X106">
        <f>IF(ISNUMBER(SEARCH('1Př1'!$A$34,N106)),MAX($M$2:M105)+1,0)</f>
        <v>104</v>
      </c>
      <c r="Y106" s="287" t="s">
        <v>1137</v>
      </c>
      <c r="Z106" t="str">
        <f>IFERROR(VLOOKUP(ROWS($Z$3:Z106),$X$3:$Y$718,2,0),"")</f>
        <v>Sportovní, zábavní a rekreační činnosti</v>
      </c>
    </row>
    <row r="107" spans="1:26" ht="12.75" customHeight="1">
      <c r="A107" s="263"/>
      <c r="B107" s="263"/>
      <c r="C107" s="263"/>
      <c r="D107" s="279">
        <f>IF(ISNUMBER(SEARCH(ZAKL_DATA!$B$14,E107)),MAX($D$2:D106)+1,0)</f>
        <v>105</v>
      </c>
      <c r="E107" s="291" t="s">
        <v>1138</v>
      </c>
      <c r="F107" s="292">
        <v>2703</v>
      </c>
      <c r="G107" s="293"/>
      <c r="H107" s="294" t="str">
        <f>IFERROR(VLOOKUP(ROWS($H$3:H107),$D$3:$E$204,2,0),"")</f>
        <v>DOBRUŠKA</v>
      </c>
      <c r="I107" s="263"/>
      <c r="J107" s="296" t="s">
        <v>1139</v>
      </c>
      <c r="K107" s="285" t="s">
        <v>1140</v>
      </c>
      <c r="M107" s="286">
        <f>IF(ISNUMBER(SEARCH(ZAKL_DATA!$B$29,N107)),MAX($M$2:M106)+1,0)</f>
        <v>105</v>
      </c>
      <c r="N107" s="791" t="s">
        <v>3294</v>
      </c>
      <c r="O107" s="791" t="s">
        <v>3295</v>
      </c>
      <c r="Q107" s="288" t="str">
        <f>IFERROR(VLOOKUP(ROWS($Q$3:Q107),$M$3:$N$718,2,0),"")</f>
        <v>Instalace tepelných, chladicích a klimatizačních zařízení a rozvodů</v>
      </c>
      <c r="R107">
        <f>IF(ISNUMBER(SEARCH('1Př1'!$A$32,N107)),MAX($M$2:M106)+1,0)</f>
        <v>105</v>
      </c>
      <c r="S107" s="287" t="s">
        <v>1141</v>
      </c>
      <c r="T107" t="str">
        <f>IFERROR(VLOOKUP(ROWS($T$3:T107),$R$3:$S$718,2,0),"")</f>
        <v>Činnosti organizací sdružujících osoby za účelem prosazování spol.zájmů</v>
      </c>
      <c r="U107">
        <f>IF(ISNUMBER(SEARCH('1Př1'!$A$33,N107)),MAX($M$2:M106)+1,0)</f>
        <v>105</v>
      </c>
      <c r="V107" s="287" t="s">
        <v>1141</v>
      </c>
      <c r="W107" t="str">
        <f>IFERROR(VLOOKUP(ROWS($W$3:W107),$U$3:$V$718,2,0),"")</f>
        <v>Činnosti organizací sdružujících osoby za účelem prosazování spol.zájmů</v>
      </c>
      <c r="X107">
        <f>IF(ISNUMBER(SEARCH('1Př1'!$A$34,N107)),MAX($M$2:M106)+1,0)</f>
        <v>105</v>
      </c>
      <c r="Y107" s="287" t="s">
        <v>1141</v>
      </c>
      <c r="Z107" t="str">
        <f>IFERROR(VLOOKUP(ROWS($Z$3:Z107),$X$3:$Y$718,2,0),"")</f>
        <v>Činnosti organizací sdružujících osoby za účelem prosazování spol.zájmů</v>
      </c>
    </row>
    <row r="108" spans="1:26" ht="12.75" customHeight="1">
      <c r="A108" s="263"/>
      <c r="B108" s="263"/>
      <c r="C108" s="263"/>
      <c r="D108" s="279">
        <f>IF(ISNUMBER(SEARCH(ZAKL_DATA!$B$14,E108)),MAX($D$2:D107)+1,0)</f>
        <v>106</v>
      </c>
      <c r="E108" s="291" t="s">
        <v>1142</v>
      </c>
      <c r="F108" s="292">
        <v>2704</v>
      </c>
      <c r="G108" s="293"/>
      <c r="H108" s="294" t="str">
        <f>IFERROR(VLOOKUP(ROWS($H$3:H108),$D$3:$E$204,2,0),"")</f>
        <v>DVŮR KRÁLOVÉ</v>
      </c>
      <c r="I108" s="263"/>
      <c r="J108" s="296" t="s">
        <v>1143</v>
      </c>
      <c r="K108" s="285" t="s">
        <v>1144</v>
      </c>
      <c r="M108" s="286">
        <f>IF(ISNUMBER(SEARCH(ZAKL_DATA!$B$29,N108)),MAX($M$2:M107)+1,0)</f>
        <v>106</v>
      </c>
      <c r="N108" s="791" t="s">
        <v>3296</v>
      </c>
      <c r="O108" s="791" t="s">
        <v>3297</v>
      </c>
      <c r="Q108" s="288" t="str">
        <f>IFERROR(VLOOKUP(ROWS($Q$3:Q108),$M$3:$N$718,2,0),"")</f>
        <v>Instalace vodovodních, odpadních a plynových zařízení a rozvodů</v>
      </c>
      <c r="R108">
        <f>IF(ISNUMBER(SEARCH('1Př1'!$A$32,N108)),MAX($M$2:M107)+1,0)</f>
        <v>106</v>
      </c>
      <c r="S108" s="287" t="s">
        <v>1145</v>
      </c>
      <c r="T108" t="str">
        <f>IFERROR(VLOOKUP(ROWS($T$3:T108),$R$3:$S$718,2,0),"")</f>
        <v>Opravy počítačů a výrobků pro osobní potřebu a převážně pro domácnost</v>
      </c>
      <c r="U108">
        <f>IF(ISNUMBER(SEARCH('1Př1'!$A$33,N108)),MAX($M$2:M107)+1,0)</f>
        <v>106</v>
      </c>
      <c r="V108" s="287" t="s">
        <v>1145</v>
      </c>
      <c r="W108" t="str">
        <f>IFERROR(VLOOKUP(ROWS($W$3:W108),$U$3:$V$718,2,0),"")</f>
        <v>Opravy počítačů a výrobků pro osobní potřebu a převážně pro domácnost</v>
      </c>
      <c r="X108">
        <f>IF(ISNUMBER(SEARCH('1Př1'!$A$34,N108)),MAX($M$2:M107)+1,0)</f>
        <v>106</v>
      </c>
      <c r="Y108" s="287" t="s">
        <v>1145</v>
      </c>
      <c r="Z108" t="str">
        <f>IFERROR(VLOOKUP(ROWS($Z$3:Z108),$X$3:$Y$718,2,0),"")</f>
        <v>Opravy počítačů a výrobků pro osobní potřebu a převážně pro domácnost</v>
      </c>
    </row>
    <row r="109" spans="1:26" ht="12.75" customHeight="1">
      <c r="A109" s="263"/>
      <c r="B109" s="263"/>
      <c r="C109" s="263"/>
      <c r="D109" s="279">
        <f>IF(ISNUMBER(SEARCH(ZAKL_DATA!$B$14,E109)),MAX($D$2:D108)+1,0)</f>
        <v>107</v>
      </c>
      <c r="E109" s="291" t="s">
        <v>1146</v>
      </c>
      <c r="F109" s="292">
        <v>2705</v>
      </c>
      <c r="G109" s="293"/>
      <c r="H109" s="294" t="str">
        <f>IFERROR(VLOOKUP(ROWS($H$3:H109),$D$3:$E$204,2,0),"")</f>
        <v>HOŘICE</v>
      </c>
      <c r="I109" s="263"/>
      <c r="J109" s="296" t="s">
        <v>1147</v>
      </c>
      <c r="K109" s="285" t="s">
        <v>1148</v>
      </c>
      <c r="M109" s="286">
        <f>IF(ISNUMBER(SEARCH(ZAKL_DATA!$B$29,N109)),MAX($M$2:M108)+1,0)</f>
        <v>107</v>
      </c>
      <c r="N109" s="791" t="s">
        <v>2151</v>
      </c>
      <c r="O109" s="791" t="s">
        <v>3298</v>
      </c>
      <c r="Q109" s="288" t="str">
        <f>IFERROR(VLOOKUP(ROWS($Q$3:Q109),$M$3:$N$718,2,0),"")</f>
        <v>Inženýrské činnosti a související technické poradenství</v>
      </c>
      <c r="R109">
        <f>IF(ISNUMBER(SEARCH('1Př1'!$A$32,N109)),MAX($M$2:M108)+1,0)</f>
        <v>107</v>
      </c>
      <c r="S109" s="287" t="s">
        <v>1149</v>
      </c>
      <c r="T109" t="str">
        <f>IFERROR(VLOOKUP(ROWS($T$3:T109),$R$3:$S$718,2,0),"")</f>
        <v>Poskytování ostatních osobních služeb</v>
      </c>
      <c r="U109">
        <f>IF(ISNUMBER(SEARCH('1Př1'!$A$33,N109)),MAX($M$2:M108)+1,0)</f>
        <v>107</v>
      </c>
      <c r="V109" s="287" t="s">
        <v>1149</v>
      </c>
      <c r="W109" t="str">
        <f>IFERROR(VLOOKUP(ROWS($W$3:W109),$U$3:$V$718,2,0),"")</f>
        <v>Poskytování ostatních osobních služeb</v>
      </c>
      <c r="X109">
        <f>IF(ISNUMBER(SEARCH('1Př1'!$A$34,N109)),MAX($M$2:M108)+1,0)</f>
        <v>107</v>
      </c>
      <c r="Y109" s="287" t="s">
        <v>1149</v>
      </c>
      <c r="Z109" t="str">
        <f>IFERROR(VLOOKUP(ROWS($Z$3:Z109),$X$3:$Y$718,2,0),"")</f>
        <v>Poskytování ostatních osobních služeb</v>
      </c>
    </row>
    <row r="110" spans="1:26" ht="12.75" customHeight="1">
      <c r="A110" s="263"/>
      <c r="B110" s="263"/>
      <c r="C110" s="263"/>
      <c r="D110" s="279">
        <f>IF(ISNUMBER(SEARCH(ZAKL_DATA!$B$14,E110)),MAX($D$2:D109)+1,0)</f>
        <v>108</v>
      </c>
      <c r="E110" s="291" t="s">
        <v>1150</v>
      </c>
      <c r="F110" s="292">
        <v>2706</v>
      </c>
      <c r="G110" s="293"/>
      <c r="H110" s="294" t="str">
        <f>IFERROR(VLOOKUP(ROWS($H$3:H110),$D$3:$E$204,2,0),"")</f>
        <v>JAROMĚŘ</v>
      </c>
      <c r="I110" s="263"/>
      <c r="J110" s="296" t="s">
        <v>1151</v>
      </c>
      <c r="K110" s="285" t="s">
        <v>1152</v>
      </c>
      <c r="M110" s="286">
        <f>IF(ISNUMBER(SEARCH(ZAKL_DATA!$B$29,N110)),MAX($M$2:M109)+1,0)</f>
        <v>108</v>
      </c>
      <c r="N110" s="791" t="s">
        <v>3299</v>
      </c>
      <c r="O110" s="791" t="s">
        <v>3300</v>
      </c>
      <c r="Q110" s="288" t="str">
        <f>IFERROR(VLOOKUP(ROWS($Q$3:Q110),$M$3:$N$718,2,0),"")</f>
        <v>Jiné finanční činnosti, kromě pojišťování a penzijního financování j. n.</v>
      </c>
      <c r="R110">
        <f>IF(ISNUMBER(SEARCH('1Př1'!$A$32,N110)),MAX($M$2:M109)+1,0)</f>
        <v>108</v>
      </c>
      <c r="S110" s="287" t="s">
        <v>1153</v>
      </c>
      <c r="T110" t="str">
        <f>IFERROR(VLOOKUP(ROWS($T$3:T110),$R$3:$S$718,2,0),"")</f>
        <v>Činnosti domácností jako zaměstnavatelů domácího personálu</v>
      </c>
      <c r="U110">
        <f>IF(ISNUMBER(SEARCH('1Př1'!$A$33,N110)),MAX($M$2:M109)+1,0)</f>
        <v>108</v>
      </c>
      <c r="V110" s="287" t="s">
        <v>1153</v>
      </c>
      <c r="W110" t="str">
        <f>IFERROR(VLOOKUP(ROWS($W$3:W110),$U$3:$V$718,2,0),"")</f>
        <v>Činnosti domácností jako zaměstnavatelů domácího personálu</v>
      </c>
      <c r="X110">
        <f>IF(ISNUMBER(SEARCH('1Př1'!$A$34,N110)),MAX($M$2:M109)+1,0)</f>
        <v>108</v>
      </c>
      <c r="Y110" s="287" t="s">
        <v>1153</v>
      </c>
      <c r="Z110" t="str">
        <f>IFERROR(VLOOKUP(ROWS($Z$3:Z110),$X$3:$Y$718,2,0),"")</f>
        <v>Činnosti domácností jako zaměstnavatelů domácího personálu</v>
      </c>
    </row>
    <row r="111" spans="1:26" ht="12.75" customHeight="1">
      <c r="A111" s="263"/>
      <c r="B111" s="263"/>
      <c r="C111" s="263"/>
      <c r="D111" s="279">
        <f>IF(ISNUMBER(SEARCH(ZAKL_DATA!$B$14,E111)),MAX($D$2:D110)+1,0)</f>
        <v>109</v>
      </c>
      <c r="E111" s="291" t="s">
        <v>1154</v>
      </c>
      <c r="F111" s="292">
        <v>2707</v>
      </c>
      <c r="G111" s="293"/>
      <c r="H111" s="294" t="str">
        <f>IFERROR(VLOOKUP(ROWS($H$3:H111),$D$3:$E$204,2,0),"")</f>
        <v>JIČÍN</v>
      </c>
      <c r="I111" s="263"/>
      <c r="J111" s="296" t="s">
        <v>1155</v>
      </c>
      <c r="K111" s="285" t="s">
        <v>1156</v>
      </c>
      <c r="M111" s="286">
        <f>IF(ISNUMBER(SEARCH(ZAKL_DATA!$B$29,N111)),MAX($M$2:M110)+1,0)</f>
        <v>109</v>
      </c>
      <c r="N111" s="791" t="s">
        <v>2203</v>
      </c>
      <c r="O111" s="791" t="s">
        <v>3301</v>
      </c>
      <c r="Q111" s="288" t="str">
        <f>IFERROR(VLOOKUP(ROWS($Q$3:Q111),$M$3:$N$718,2,0),"")</f>
        <v>Jiné vzdělávání j. n.</v>
      </c>
      <c r="R111">
        <f>IF(ISNUMBER(SEARCH('1Př1'!$A$32,N111)),MAX($M$2:M110)+1,0)</f>
        <v>109</v>
      </c>
      <c r="S111" s="287" t="s">
        <v>1157</v>
      </c>
      <c r="T111" t="str">
        <f>IFERROR(VLOOKUP(ROWS($T$3:T111),$R$3:$S$718,2,0),"")</f>
        <v>Činnosti domác.produk.blíže neurčené výrobky a služby pro vlast.potřebu</v>
      </c>
      <c r="U111">
        <f>IF(ISNUMBER(SEARCH('1Př1'!$A$33,N111)),MAX($M$2:M110)+1,0)</f>
        <v>109</v>
      </c>
      <c r="V111" s="287" t="s">
        <v>1157</v>
      </c>
      <c r="W111" t="str">
        <f>IFERROR(VLOOKUP(ROWS($W$3:W111),$U$3:$V$718,2,0),"")</f>
        <v>Činnosti domác.produk.blíže neurčené výrobky a služby pro vlast.potřebu</v>
      </c>
      <c r="X111">
        <f>IF(ISNUMBER(SEARCH('1Př1'!$A$34,N111)),MAX($M$2:M110)+1,0)</f>
        <v>109</v>
      </c>
      <c r="Y111" s="287" t="s">
        <v>1157</v>
      </c>
      <c r="Z111" t="str">
        <f>IFERROR(VLOOKUP(ROWS($Z$3:Z111),$X$3:$Y$718,2,0),"")</f>
        <v>Činnosti domác.produk.blíže neurčené výrobky a služby pro vlast.potřebu</v>
      </c>
    </row>
    <row r="112" spans="1:26" ht="12.75" customHeight="1">
      <c r="A112" s="263"/>
      <c r="B112" s="263"/>
      <c r="C112" s="263"/>
      <c r="D112" s="279">
        <f>IF(ISNUMBER(SEARCH(ZAKL_DATA!$B$14,E112)),MAX($D$2:D111)+1,0)</f>
        <v>110</v>
      </c>
      <c r="E112" s="291" t="s">
        <v>1158</v>
      </c>
      <c r="F112" s="292">
        <v>2708</v>
      </c>
      <c r="G112" s="293"/>
      <c r="H112" s="294" t="str">
        <f>IFERROR(VLOOKUP(ROWS($H$3:H112),$D$3:$E$204,2,0),"")</f>
        <v>KOSTELEC NAD ORLICÍ</v>
      </c>
      <c r="I112" s="263"/>
      <c r="J112" s="296" t="s">
        <v>1159</v>
      </c>
      <c r="K112" s="285" t="s">
        <v>1160</v>
      </c>
      <c r="M112" s="286">
        <f>IF(ISNUMBER(SEARCH(ZAKL_DATA!$B$29,N112)),MAX($M$2:M111)+1,0)</f>
        <v>110</v>
      </c>
      <c r="N112" s="791" t="s">
        <v>3302</v>
      </c>
      <c r="O112" s="791" t="s">
        <v>3303</v>
      </c>
      <c r="Q112" s="288" t="str">
        <f>IFERROR(VLOOKUP(ROWS($Q$3:Q112),$M$3:$N$718,2,0),"")</f>
        <v>Kadeřnické a holičské činnosti</v>
      </c>
      <c r="R112">
        <f>IF(ISNUMBER(SEARCH('1Př1'!$A$32,N112)),MAX($M$2:M111)+1,0)</f>
        <v>110</v>
      </c>
      <c r="S112" s="287" t="s">
        <v>1161</v>
      </c>
      <c r="T112" t="str">
        <f>IFERROR(VLOOKUP(ROWS($T$3:T112),$R$3:$S$718,2,0),"")</f>
        <v>Činnosti exteritoriálních organizací a orgánů</v>
      </c>
      <c r="U112">
        <f>IF(ISNUMBER(SEARCH('1Př1'!$A$33,N112)),MAX($M$2:M111)+1,0)</f>
        <v>110</v>
      </c>
      <c r="V112" s="287" t="s">
        <v>1161</v>
      </c>
      <c r="W112" t="str">
        <f>IFERROR(VLOOKUP(ROWS($W$3:W112),$U$3:$V$718,2,0),"")</f>
        <v>Činnosti exteritoriálních organizací a orgánů</v>
      </c>
      <c r="X112">
        <f>IF(ISNUMBER(SEARCH('1Př1'!$A$34,N112)),MAX($M$2:M111)+1,0)</f>
        <v>110</v>
      </c>
      <c r="Y112" s="287" t="s">
        <v>1161</v>
      </c>
      <c r="Z112" t="str">
        <f>IFERROR(VLOOKUP(ROWS($Z$3:Z112),$X$3:$Y$718,2,0),"")</f>
        <v>Činnosti exteritoriálních organizací a orgánů</v>
      </c>
    </row>
    <row r="113" spans="1:26" ht="12.75" customHeight="1">
      <c r="A113" s="263"/>
      <c r="B113" s="263"/>
      <c r="C113" s="263"/>
      <c r="D113" s="279">
        <f>IF(ISNUMBER(SEARCH(ZAKL_DATA!$B$14,E113)),MAX($D$2:D112)+1,0)</f>
        <v>111</v>
      </c>
      <c r="E113" s="291" t="s">
        <v>1162</v>
      </c>
      <c r="F113" s="292">
        <v>2709</v>
      </c>
      <c r="G113" s="293"/>
      <c r="H113" s="294" t="str">
        <f>IFERROR(VLOOKUP(ROWS($H$3:H113),$D$3:$E$204,2,0),"")</f>
        <v>NÁCHOD</v>
      </c>
      <c r="I113" s="263"/>
      <c r="J113" s="296" t="s">
        <v>1163</v>
      </c>
      <c r="K113" s="285" t="s">
        <v>1164</v>
      </c>
      <c r="M113" s="286">
        <f>IF(ISNUMBER(SEARCH(ZAKL_DATA!$B$29,N113)),MAX($M$2:M112)+1,0)</f>
        <v>111</v>
      </c>
      <c r="N113" s="791" t="s">
        <v>3304</v>
      </c>
      <c r="O113" s="791" t="s">
        <v>3305</v>
      </c>
      <c r="Q113" s="288" t="str">
        <f>IFERROR(VLOOKUP(ROWS($Q$3:Q113),$M$3:$N$718,2,0),"")</f>
        <v>Kempy a parkoviště pro rekreační vozidla</v>
      </c>
      <c r="R113">
        <f>IF(ISNUMBER(SEARCH('1Př1'!$A$32,N113)),MAX($M$2:M112)+1,0)</f>
        <v>111</v>
      </c>
      <c r="S113" s="287" t="s">
        <v>1165</v>
      </c>
      <c r="T113" t="str">
        <f>IFERROR(VLOOKUP(ROWS($T$3:T113),$R$3:$S$718,2,0),"")</f>
        <v>Podpůrné činnosti při ostatní těžbě a dobývání</v>
      </c>
      <c r="U113">
        <f>IF(ISNUMBER(SEARCH('1Př1'!$A$33,N113)),MAX($M$2:M112)+1,0)</f>
        <v>111</v>
      </c>
      <c r="V113" s="287" t="s">
        <v>1165</v>
      </c>
      <c r="W113" t="str">
        <f>IFERROR(VLOOKUP(ROWS($W$3:W113),$U$3:$V$718,2,0),"")</f>
        <v>Podpůrné činnosti při ostatní těžbě a dobývání</v>
      </c>
      <c r="X113">
        <f>IF(ISNUMBER(SEARCH('1Př1'!$A$34,N113)),MAX($M$2:M112)+1,0)</f>
        <v>111</v>
      </c>
      <c r="Y113" s="287" t="s">
        <v>1165</v>
      </c>
      <c r="Z113" t="str">
        <f>IFERROR(VLOOKUP(ROWS($Z$3:Z113),$X$3:$Y$718,2,0),"")</f>
        <v>Podpůrné činnosti při ostatní těžbě a dobývání</v>
      </c>
    </row>
    <row r="114" spans="1:26" ht="12.75" customHeight="1">
      <c r="A114" s="263"/>
      <c r="B114" s="263"/>
      <c r="C114" s="263"/>
      <c r="D114" s="279">
        <f>IF(ISNUMBER(SEARCH(ZAKL_DATA!$B$14,E114)),MAX($D$2:D113)+1,0)</f>
        <v>112</v>
      </c>
      <c r="E114" s="291" t="s">
        <v>1166</v>
      </c>
      <c r="F114" s="292">
        <v>2710</v>
      </c>
      <c r="G114" s="293"/>
      <c r="H114" s="294" t="str">
        <f>IFERROR(VLOOKUP(ROWS($H$3:H114),$D$3:$E$204,2,0),"")</f>
        <v>NOVÁ PAKA</v>
      </c>
      <c r="I114" s="263"/>
      <c r="J114" s="296" t="s">
        <v>1167</v>
      </c>
      <c r="K114" s="285" t="s">
        <v>1168</v>
      </c>
      <c r="M114" s="286">
        <f>IF(ISNUMBER(SEARCH(ZAKL_DATA!$B$29,N114)),MAX($M$2:M113)+1,0)</f>
        <v>112</v>
      </c>
      <c r="N114" s="791" t="s">
        <v>3306</v>
      </c>
      <c r="O114" s="791" t="s">
        <v>3307</v>
      </c>
      <c r="Q114" s="288" t="str">
        <f>IFERROR(VLOOKUP(ROWS($Q$3:Q114),$M$3:$N$718,2,0),"")</f>
        <v>Kolejová nákladní doprava</v>
      </c>
      <c r="R114">
        <f>IF(ISNUMBER(SEARCH('1Př1'!$A$32,N114)),MAX($M$2:M113)+1,0)</f>
        <v>112</v>
      </c>
      <c r="S114" s="287" t="s">
        <v>1169</v>
      </c>
      <c r="T114" t="str">
        <f>IFERROR(VLOOKUP(ROWS($T$3:T114),$R$3:$S$718,2,0),"")</f>
        <v>Zpracování a konzervování masa a výroba masných výrobků</v>
      </c>
      <c r="U114">
        <f>IF(ISNUMBER(SEARCH('1Př1'!$A$33,N114)),MAX($M$2:M113)+1,0)</f>
        <v>112</v>
      </c>
      <c r="V114" s="287" t="s">
        <v>1169</v>
      </c>
      <c r="W114" t="str">
        <f>IFERROR(VLOOKUP(ROWS($W$3:W114),$U$3:$V$718,2,0),"")</f>
        <v>Zpracování a konzervování masa a výroba masných výrobků</v>
      </c>
      <c r="X114">
        <f>IF(ISNUMBER(SEARCH('1Př1'!$A$34,N114)),MAX($M$2:M113)+1,0)</f>
        <v>112</v>
      </c>
      <c r="Y114" s="287" t="s">
        <v>1169</v>
      </c>
      <c r="Z114" t="str">
        <f>IFERROR(VLOOKUP(ROWS($Z$3:Z114),$X$3:$Y$718,2,0),"")</f>
        <v>Zpracování a konzervování masa a výroba masných výrobků</v>
      </c>
    </row>
    <row r="115" spans="1:26" ht="12.75" customHeight="1">
      <c r="A115" s="263"/>
      <c r="B115" s="263"/>
      <c r="C115" s="263"/>
      <c r="D115" s="279">
        <f>IF(ISNUMBER(SEARCH(ZAKL_DATA!$B$14,E115)),MAX($D$2:D114)+1,0)</f>
        <v>113</v>
      </c>
      <c r="E115" s="291" t="s">
        <v>1170</v>
      </c>
      <c r="F115" s="292">
        <v>2711</v>
      </c>
      <c r="G115" s="293"/>
      <c r="H115" s="294" t="str">
        <f>IFERROR(VLOOKUP(ROWS($H$3:H115),$D$3:$E$204,2,0),"")</f>
        <v>NOVÝ BYDŽOV</v>
      </c>
      <c r="I115" s="263"/>
      <c r="J115" s="296" t="s">
        <v>1171</v>
      </c>
      <c r="K115" s="285" t="s">
        <v>1172</v>
      </c>
      <c r="M115" s="286">
        <f>IF(ISNUMBER(SEARCH(ZAKL_DATA!$B$29,N115)),MAX($M$2:M114)+1,0)</f>
        <v>113</v>
      </c>
      <c r="N115" s="791" t="s">
        <v>3308</v>
      </c>
      <c r="O115" s="791" t="s">
        <v>3309</v>
      </c>
      <c r="Q115" s="288" t="str">
        <f>IFERROR(VLOOKUP(ROWS($Q$3:Q115),$M$3:$N$718,2,0),"")</f>
        <v>Kombinované podpůrné činnosti</v>
      </c>
      <c r="R115">
        <f>IF(ISNUMBER(SEARCH('1Př1'!$A$32,N115)),MAX($M$2:M114)+1,0)</f>
        <v>113</v>
      </c>
      <c r="S115" s="287" t="s">
        <v>1173</v>
      </c>
      <c r="T115" t="str">
        <f>IFERROR(VLOOKUP(ROWS($T$3:T115),$R$3:$S$718,2,0),"")</f>
        <v>Zpracování a konzervování ryb, korýšů a měkkýšů</v>
      </c>
      <c r="U115">
        <f>IF(ISNUMBER(SEARCH('1Př1'!$A$33,N115)),MAX($M$2:M114)+1,0)</f>
        <v>113</v>
      </c>
      <c r="V115" s="287" t="s">
        <v>1173</v>
      </c>
      <c r="W115" t="str">
        <f>IFERROR(VLOOKUP(ROWS($W$3:W115),$U$3:$V$718,2,0),"")</f>
        <v>Zpracování a konzervování ryb, korýšů a měkkýšů</v>
      </c>
      <c r="X115">
        <f>IF(ISNUMBER(SEARCH('1Př1'!$A$34,N115)),MAX($M$2:M114)+1,0)</f>
        <v>113</v>
      </c>
      <c r="Y115" s="287" t="s">
        <v>1173</v>
      </c>
      <c r="Z115" t="str">
        <f>IFERROR(VLOOKUP(ROWS($Z$3:Z115),$X$3:$Y$718,2,0),"")</f>
        <v>Zpracování a konzervování ryb, korýšů a měkkýšů</v>
      </c>
    </row>
    <row r="116" spans="1:26" ht="12.75" customHeight="1">
      <c r="A116" s="263"/>
      <c r="B116" s="263"/>
      <c r="C116" s="263"/>
      <c r="D116" s="279">
        <f>IF(ISNUMBER(SEARCH(ZAKL_DATA!$B$14,E116)),MAX($D$2:D115)+1,0)</f>
        <v>114</v>
      </c>
      <c r="E116" s="291" t="s">
        <v>1174</v>
      </c>
      <c r="F116" s="292">
        <v>2712</v>
      </c>
      <c r="G116" s="293"/>
      <c r="H116" s="294" t="str">
        <f>IFERROR(VLOOKUP(ROWS($H$3:H116),$D$3:$E$204,2,0),"")</f>
        <v>RYCHNOV NAD KNĚŽ.</v>
      </c>
      <c r="I116" s="263"/>
      <c r="J116" s="296" t="s">
        <v>1175</v>
      </c>
      <c r="K116" s="285" t="s">
        <v>1176</v>
      </c>
      <c r="M116" s="286">
        <f>IF(ISNUMBER(SEARCH(ZAKL_DATA!$B$29,N116)),MAX($M$2:M115)+1,0)</f>
        <v>114</v>
      </c>
      <c r="N116" s="791" t="s">
        <v>3310</v>
      </c>
      <c r="O116" s="791" t="s">
        <v>3311</v>
      </c>
      <c r="Q116" s="288" t="str">
        <f>IFERROR(VLOOKUP(ROWS($Q$3:Q116),$M$3:$N$718,2,0),"")</f>
        <v>Konečná úprava dřevěných výrobků</v>
      </c>
      <c r="R116">
        <f>IF(ISNUMBER(SEARCH('1Př1'!$A$32,N116)),MAX($M$2:M115)+1,0)</f>
        <v>114</v>
      </c>
      <c r="S116" s="287" t="s">
        <v>1177</v>
      </c>
      <c r="T116" t="str">
        <f>IFERROR(VLOOKUP(ROWS($T$3:T116),$R$3:$S$718,2,0),"")</f>
        <v>Zpracování a konzervování ovoce a zeleniny</v>
      </c>
      <c r="U116">
        <f>IF(ISNUMBER(SEARCH('1Př1'!$A$33,N116)),MAX($M$2:M115)+1,0)</f>
        <v>114</v>
      </c>
      <c r="V116" s="287" t="s">
        <v>1177</v>
      </c>
      <c r="W116" t="str">
        <f>IFERROR(VLOOKUP(ROWS($W$3:W116),$U$3:$V$718,2,0),"")</f>
        <v>Zpracování a konzervování ovoce a zeleniny</v>
      </c>
      <c r="X116">
        <f>IF(ISNUMBER(SEARCH('1Př1'!$A$34,N116)),MAX($M$2:M115)+1,0)</f>
        <v>114</v>
      </c>
      <c r="Y116" s="287" t="s">
        <v>1177</v>
      </c>
      <c r="Z116" t="str">
        <f>IFERROR(VLOOKUP(ROWS($Z$3:Z116),$X$3:$Y$718,2,0),"")</f>
        <v>Zpracování a konzervování ovoce a zeleniny</v>
      </c>
    </row>
    <row r="117" spans="1:26" ht="12.75" customHeight="1">
      <c r="A117" s="263"/>
      <c r="B117" s="263"/>
      <c r="C117" s="263"/>
      <c r="D117" s="279">
        <f>IF(ISNUMBER(SEARCH(ZAKL_DATA!$B$14,E117)),MAX($D$2:D116)+1,0)</f>
        <v>115</v>
      </c>
      <c r="E117" s="291" t="s">
        <v>1178</v>
      </c>
      <c r="F117" s="292">
        <v>2713</v>
      </c>
      <c r="G117" s="293"/>
      <c r="H117" s="294" t="str">
        <f>IFERROR(VLOOKUP(ROWS($H$3:H117),$D$3:$E$204,2,0),"")</f>
        <v>TRUTNOV</v>
      </c>
      <c r="I117" s="263"/>
      <c r="J117" s="296" t="s">
        <v>1179</v>
      </c>
      <c r="K117" s="285" t="s">
        <v>1180</v>
      </c>
      <c r="M117" s="286">
        <f>IF(ISNUMBER(SEARCH(ZAKL_DATA!$B$29,N117)),MAX($M$2:M116)+1,0)</f>
        <v>115</v>
      </c>
      <c r="N117" s="791" t="s">
        <v>1273</v>
      </c>
      <c r="O117" s="791" t="s">
        <v>3312</v>
      </c>
      <c r="Q117" s="288" t="str">
        <f>IFERROR(VLOOKUP(ROWS($Q$3:Q117),$M$3:$N$718,2,0),"")</f>
        <v>Konečná úprava textilií</v>
      </c>
      <c r="R117">
        <f>IF(ISNUMBER(SEARCH('1Př1'!$A$32,N117)),MAX($M$2:M116)+1,0)</f>
        <v>115</v>
      </c>
      <c r="S117" s="287" t="s">
        <v>1181</v>
      </c>
      <c r="T117" t="str">
        <f>IFERROR(VLOOKUP(ROWS($T$3:T117),$R$3:$S$718,2,0),"")</f>
        <v>Výroba rostlinných a živočišných olejů a tuků</v>
      </c>
      <c r="U117">
        <f>IF(ISNUMBER(SEARCH('1Př1'!$A$33,N117)),MAX($M$2:M116)+1,0)</f>
        <v>115</v>
      </c>
      <c r="V117" s="287" t="s">
        <v>1181</v>
      </c>
      <c r="W117" t="str">
        <f>IFERROR(VLOOKUP(ROWS($W$3:W117),$U$3:$V$718,2,0),"")</f>
        <v>Výroba rostlinných a živočišných olejů a tuků</v>
      </c>
      <c r="X117">
        <f>IF(ISNUMBER(SEARCH('1Př1'!$A$34,N117)),MAX($M$2:M116)+1,0)</f>
        <v>115</v>
      </c>
      <c r="Y117" s="287" t="s">
        <v>1181</v>
      </c>
      <c r="Z117" t="str">
        <f>IFERROR(VLOOKUP(ROWS($Z$3:Z117),$X$3:$Y$718,2,0),"")</f>
        <v>Výroba rostlinných a živočišných olejů a tuků</v>
      </c>
    </row>
    <row r="118" spans="1:26" ht="12.75" customHeight="1">
      <c r="A118" s="263"/>
      <c r="B118" s="263"/>
      <c r="C118" s="263"/>
      <c r="D118" s="279">
        <f>IF(ISNUMBER(SEARCH(ZAKL_DATA!$B$14,E118)),MAX($D$2:D117)+1,0)</f>
        <v>116</v>
      </c>
      <c r="E118" s="291" t="s">
        <v>1182</v>
      </c>
      <c r="F118" s="292">
        <v>2714</v>
      </c>
      <c r="G118" s="293"/>
      <c r="H118" s="294" t="str">
        <f>IFERROR(VLOOKUP(ROWS($H$3:H118),$D$3:$E$204,2,0),"")</f>
        <v>VRCHLABÍ</v>
      </c>
      <c r="I118" s="263"/>
      <c r="J118" s="296" t="s">
        <v>1183</v>
      </c>
      <c r="K118" s="285" t="s">
        <v>1184</v>
      </c>
      <c r="M118" s="286">
        <f>IF(ISNUMBER(SEARCH(ZAKL_DATA!$B$29,N118)),MAX($M$2:M117)+1,0)</f>
        <v>116</v>
      </c>
      <c r="N118" s="791" t="s">
        <v>3313</v>
      </c>
      <c r="O118" s="791" t="s">
        <v>3314</v>
      </c>
      <c r="Q118" s="288" t="str">
        <f>IFERROR(VLOOKUP(ROWS($Q$3:Q118),$M$3:$N$718,2,0),"")</f>
        <v>Konzervování, restaurování a jiné podpůrné činnosti pro kulturní dědictví</v>
      </c>
      <c r="R118">
        <f>IF(ISNUMBER(SEARCH('1Př1'!$A$32,N118)),MAX($M$2:M117)+1,0)</f>
        <v>116</v>
      </c>
      <c r="S118" s="287" t="s">
        <v>1185</v>
      </c>
      <c r="T118" t="str">
        <f>IFERROR(VLOOKUP(ROWS($T$3:T118),$R$3:$S$718,2,0),"")</f>
        <v>Výroba mléčných výrobků</v>
      </c>
      <c r="U118">
        <f>IF(ISNUMBER(SEARCH('1Př1'!$A$33,N118)),MAX($M$2:M117)+1,0)</f>
        <v>116</v>
      </c>
      <c r="V118" s="287" t="s">
        <v>1185</v>
      </c>
      <c r="W118" t="str">
        <f>IFERROR(VLOOKUP(ROWS($W$3:W118),$U$3:$V$718,2,0),"")</f>
        <v>Výroba mléčných výrobků</v>
      </c>
      <c r="X118">
        <f>IF(ISNUMBER(SEARCH('1Př1'!$A$34,N118)),MAX($M$2:M117)+1,0)</f>
        <v>116</v>
      </c>
      <c r="Y118" s="287" t="s">
        <v>1185</v>
      </c>
      <c r="Z118" t="str">
        <f>IFERROR(VLOOKUP(ROWS($Z$3:Z118),$X$3:$Y$718,2,0),"")</f>
        <v>Výroba mléčných výrobků</v>
      </c>
    </row>
    <row r="119" spans="1:26" ht="12.75" customHeight="1">
      <c r="A119" s="263"/>
      <c r="B119" s="263"/>
      <c r="C119" s="263"/>
      <c r="D119" s="279">
        <f>IF(ISNUMBER(SEARCH(ZAKL_DATA!$B$14,E119)),MAX($D$2:D118)+1,0)</f>
        <v>117</v>
      </c>
      <c r="E119" s="291" t="s">
        <v>1186</v>
      </c>
      <c r="F119" s="292">
        <v>2801</v>
      </c>
      <c r="G119" s="293"/>
      <c r="H119" s="294" t="str">
        <f>IFERROR(VLOOKUP(ROWS($H$3:H119),$D$3:$E$204,2,0),"")</f>
        <v>PARDUBICE</v>
      </c>
      <c r="I119" s="263"/>
      <c r="J119" s="296" t="s">
        <v>1187</v>
      </c>
      <c r="K119" s="285" t="s">
        <v>1188</v>
      </c>
      <c r="M119" s="286">
        <f>IF(ISNUMBER(SEARCH(ZAKL_DATA!$B$29,N119)),MAX($M$2:M118)+1,0)</f>
        <v>117</v>
      </c>
      <c r="N119" s="791" t="s">
        <v>3315</v>
      </c>
      <c r="O119" s="791" t="s">
        <v>3316</v>
      </c>
      <c r="Q119" s="288" t="str">
        <f>IFERROR(VLOOKUP(ROWS($Q$3:Q119),$M$3:$N$718,2,0),"")</f>
        <v>Kosmetické a podobné činnosti</v>
      </c>
      <c r="R119">
        <f>IF(ISNUMBER(SEARCH('1Př1'!$A$32,N119)),MAX($M$2:M118)+1,0)</f>
        <v>117</v>
      </c>
      <c r="S119" s="287" t="s">
        <v>1189</v>
      </c>
      <c r="T119" t="str">
        <f>IFERROR(VLOOKUP(ROWS($T$3:T119),$R$3:$S$718,2,0),"")</f>
        <v>Výroba mlýnských a škrobárenských výrobků</v>
      </c>
      <c r="U119">
        <f>IF(ISNUMBER(SEARCH('1Př1'!$A$33,N119)),MAX($M$2:M118)+1,0)</f>
        <v>117</v>
      </c>
      <c r="V119" s="287" t="s">
        <v>1189</v>
      </c>
      <c r="W119" t="str">
        <f>IFERROR(VLOOKUP(ROWS($W$3:W119),$U$3:$V$718,2,0),"")</f>
        <v>Výroba mlýnských a škrobárenských výrobků</v>
      </c>
      <c r="X119">
        <f>IF(ISNUMBER(SEARCH('1Př1'!$A$34,N119)),MAX($M$2:M118)+1,0)</f>
        <v>117</v>
      </c>
      <c r="Y119" s="287" t="s">
        <v>1189</v>
      </c>
      <c r="Z119" t="str">
        <f>IFERROR(VLOOKUP(ROWS($Z$3:Z119),$X$3:$Y$718,2,0),"")</f>
        <v>Výroba mlýnských a škrobárenských výrobků</v>
      </c>
    </row>
    <row r="120" spans="1:26" ht="12.75" customHeight="1">
      <c r="A120" s="263"/>
      <c r="B120" s="263"/>
      <c r="C120" s="263"/>
      <c r="D120" s="279">
        <f>IF(ISNUMBER(SEARCH(ZAKL_DATA!$B$14,E120)),MAX($D$2:D119)+1,0)</f>
        <v>118</v>
      </c>
      <c r="E120" s="291" t="s">
        <v>1190</v>
      </c>
      <c r="F120" s="292">
        <v>2802</v>
      </c>
      <c r="G120" s="293"/>
      <c r="H120" s="294" t="str">
        <f>IFERROR(VLOOKUP(ROWS($H$3:H120),$D$3:$E$204,2,0),"")</f>
        <v>HLINSKO</v>
      </c>
      <c r="I120" s="263"/>
      <c r="J120" s="296" t="s">
        <v>1191</v>
      </c>
      <c r="K120" s="285" t="s">
        <v>1192</v>
      </c>
      <c r="M120" s="286">
        <f>IF(ISNUMBER(SEARCH(ZAKL_DATA!$B$29,N120)),MAX($M$2:M119)+1,0)</f>
        <v>118</v>
      </c>
      <c r="N120" s="791" t="s">
        <v>2131</v>
      </c>
      <c r="O120" s="791" t="s">
        <v>3317</v>
      </c>
      <c r="Q120" s="288" t="str">
        <f>IFERROR(VLOOKUP(ROWS($Q$3:Q120),$M$3:$N$718,2,0),"")</f>
        <v>Kosmická doprava</v>
      </c>
      <c r="R120">
        <f>IF(ISNUMBER(SEARCH('1Př1'!$A$32,N120)),MAX($M$2:M119)+1,0)</f>
        <v>118</v>
      </c>
      <c r="S120" s="287" t="s">
        <v>1193</v>
      </c>
      <c r="T120" t="str">
        <f>IFERROR(VLOOKUP(ROWS($T$3:T120),$R$3:$S$718,2,0),"")</f>
        <v>Výroba pekařských, cukrářských a jiných moučných výrobků</v>
      </c>
      <c r="U120">
        <f>IF(ISNUMBER(SEARCH('1Př1'!$A$33,N120)),MAX($M$2:M119)+1,0)</f>
        <v>118</v>
      </c>
      <c r="V120" s="287" t="s">
        <v>1193</v>
      </c>
      <c r="W120" t="str">
        <f>IFERROR(VLOOKUP(ROWS($W$3:W120),$U$3:$V$718,2,0),"")</f>
        <v>Výroba pekařských, cukrářských a jiných moučných výrobků</v>
      </c>
      <c r="X120">
        <f>IF(ISNUMBER(SEARCH('1Př1'!$A$34,N120)),MAX($M$2:M119)+1,0)</f>
        <v>118</v>
      </c>
      <c r="Y120" s="287" t="s">
        <v>1193</v>
      </c>
      <c r="Z120" t="str">
        <f>IFERROR(VLOOKUP(ROWS($Z$3:Z120),$X$3:$Y$718,2,0),"")</f>
        <v>Výroba pekařských, cukrářských a jiných moučných výrobků</v>
      </c>
    </row>
    <row r="121" spans="1:26" ht="12.75" customHeight="1">
      <c r="A121" s="263"/>
      <c r="B121" s="263"/>
      <c r="C121" s="263"/>
      <c r="D121" s="279">
        <f>IF(ISNUMBER(SEARCH(ZAKL_DATA!$B$14,E121)),MAX($D$2:D120)+1,0)</f>
        <v>119</v>
      </c>
      <c r="E121" s="291" t="s">
        <v>1194</v>
      </c>
      <c r="F121" s="292">
        <v>2803</v>
      </c>
      <c r="G121" s="293"/>
      <c r="H121" s="294" t="str">
        <f>IFERROR(VLOOKUP(ROWS($H$3:H121),$D$3:$E$204,2,0),"")</f>
        <v>HOLICE</v>
      </c>
      <c r="I121" s="263"/>
      <c r="J121" s="296" t="s">
        <v>1195</v>
      </c>
      <c r="K121" s="285" t="s">
        <v>1196</v>
      </c>
      <c r="M121" s="286">
        <f>IF(ISNUMBER(SEARCH(ZAKL_DATA!$B$29,N121)),MAX($M$2:M120)+1,0)</f>
        <v>119</v>
      </c>
      <c r="N121" s="791" t="s">
        <v>3318</v>
      </c>
      <c r="O121" s="791" t="s">
        <v>3319</v>
      </c>
      <c r="Q121" s="288" t="str">
        <f>IFERROR(VLOOKUP(ROWS($Q$3:Q121),$M$3:$N$718,2,0),"")</f>
        <v>Kování a tváření kovů a prášková metalurgie</v>
      </c>
      <c r="R121">
        <f>IF(ISNUMBER(SEARCH('1Př1'!$A$32,N121)),MAX($M$2:M120)+1,0)</f>
        <v>119</v>
      </c>
      <c r="S121" s="287" t="s">
        <v>1197</v>
      </c>
      <c r="T121" t="str">
        <f>IFERROR(VLOOKUP(ROWS($T$3:T121),$R$3:$S$718,2,0),"")</f>
        <v>Výroba ostatních potravinářských výrobků</v>
      </c>
      <c r="U121">
        <f>IF(ISNUMBER(SEARCH('1Př1'!$A$33,N121)),MAX($M$2:M120)+1,0)</f>
        <v>119</v>
      </c>
      <c r="V121" s="287" t="s">
        <v>1197</v>
      </c>
      <c r="W121" t="str">
        <f>IFERROR(VLOOKUP(ROWS($W$3:W121),$U$3:$V$718,2,0),"")</f>
        <v>Výroba ostatních potravinářských výrobků</v>
      </c>
      <c r="X121">
        <f>IF(ISNUMBER(SEARCH('1Př1'!$A$34,N121)),MAX($M$2:M120)+1,0)</f>
        <v>119</v>
      </c>
      <c r="Y121" s="287" t="s">
        <v>1197</v>
      </c>
      <c r="Z121" t="str">
        <f>IFERROR(VLOOKUP(ROWS($Z$3:Z121),$X$3:$Y$718,2,0),"")</f>
        <v>Výroba ostatních potravinářských výrobků</v>
      </c>
    </row>
    <row r="122" spans="1:26" ht="12.75" customHeight="1">
      <c r="A122" s="263"/>
      <c r="B122" s="263"/>
      <c r="C122" s="263"/>
      <c r="D122" s="279">
        <f>IF(ISNUMBER(SEARCH(ZAKL_DATA!$B$14,E122)),MAX($D$2:D121)+1,0)</f>
        <v>120</v>
      </c>
      <c r="E122" s="291" t="s">
        <v>1198</v>
      </c>
      <c r="F122" s="292">
        <v>2804</v>
      </c>
      <c r="G122" s="293"/>
      <c r="H122" s="294" t="str">
        <f>IFERROR(VLOOKUP(ROWS($H$3:H122),$D$3:$E$204,2,0),"")</f>
        <v>CHRUDIM</v>
      </c>
      <c r="I122" s="263"/>
      <c r="J122" s="296" t="s">
        <v>1199</v>
      </c>
      <c r="K122" s="285" t="s">
        <v>1200</v>
      </c>
      <c r="M122" s="286">
        <f>IF(ISNUMBER(SEARCH(ZAKL_DATA!$B$29,N122)),MAX($M$2:M121)+1,0)</f>
        <v>120</v>
      </c>
      <c r="N122" s="791" t="s">
        <v>3320</v>
      </c>
      <c r="O122" s="791" t="s">
        <v>3321</v>
      </c>
      <c r="Q122" s="288" t="str">
        <f>IFERROR(VLOOKUP(ROWS($Q$3:Q122),$M$3:$N$718,2,0),"")</f>
        <v>Leasing duševního vlastnictví a podobných produktů, kromě děl chráněných autorským právem</v>
      </c>
      <c r="R122">
        <f>IF(ISNUMBER(SEARCH('1Př1'!$A$32,N122)),MAX($M$2:M121)+1,0)</f>
        <v>120</v>
      </c>
      <c r="S122" s="287" t="s">
        <v>1201</v>
      </c>
      <c r="T122" t="str">
        <f>IFERROR(VLOOKUP(ROWS($T$3:T122),$R$3:$S$718,2,0),"")</f>
        <v>Výroba průmyslových krmiv</v>
      </c>
      <c r="U122">
        <f>IF(ISNUMBER(SEARCH('1Př1'!$A$33,N122)),MAX($M$2:M121)+1,0)</f>
        <v>120</v>
      </c>
      <c r="V122" s="287" t="s">
        <v>1201</v>
      </c>
      <c r="W122" t="str">
        <f>IFERROR(VLOOKUP(ROWS($W$3:W122),$U$3:$V$718,2,0),"")</f>
        <v>Výroba průmyslových krmiv</v>
      </c>
      <c r="X122">
        <f>IF(ISNUMBER(SEARCH('1Př1'!$A$34,N122)),MAX($M$2:M121)+1,0)</f>
        <v>120</v>
      </c>
      <c r="Y122" s="287" t="s">
        <v>1201</v>
      </c>
      <c r="Z122" t="str">
        <f>IFERROR(VLOOKUP(ROWS($Z$3:Z122),$X$3:$Y$718,2,0),"")</f>
        <v>Výroba průmyslových krmiv</v>
      </c>
    </row>
    <row r="123" spans="1:26" ht="12.75" customHeight="1">
      <c r="A123" s="263"/>
      <c r="B123" s="263"/>
      <c r="C123" s="263"/>
      <c r="D123" s="279">
        <f>IF(ISNUMBER(SEARCH(ZAKL_DATA!$B$14,E123)),MAX($D$2:D122)+1,0)</f>
        <v>121</v>
      </c>
      <c r="E123" s="291" t="s">
        <v>1202</v>
      </c>
      <c r="F123" s="292">
        <v>2805</v>
      </c>
      <c r="G123" s="293"/>
      <c r="H123" s="294" t="str">
        <f>IFERROR(VLOOKUP(ROWS($H$3:H123),$D$3:$E$204,2,0),"")</f>
        <v>LITOMYŠL</v>
      </c>
      <c r="I123" s="263"/>
      <c r="J123" s="296" t="s">
        <v>1203</v>
      </c>
      <c r="K123" s="285" t="s">
        <v>1204</v>
      </c>
      <c r="M123" s="286">
        <f>IF(ISNUMBER(SEARCH(ZAKL_DATA!$B$29,N123)),MAX($M$2:M122)+1,0)</f>
        <v>121</v>
      </c>
      <c r="N123" s="791" t="s">
        <v>2130</v>
      </c>
      <c r="O123" s="791" t="s">
        <v>3322</v>
      </c>
      <c r="Q123" s="288" t="str">
        <f>IFERROR(VLOOKUP(ROWS($Q$3:Q123),$M$3:$N$718,2,0),"")</f>
        <v>Letecká nákladní doprava</v>
      </c>
      <c r="R123">
        <f>IF(ISNUMBER(SEARCH('1Př1'!$A$32,N123)),MAX($M$2:M122)+1,0)</f>
        <v>121</v>
      </c>
      <c r="S123" s="287" t="s">
        <v>1205</v>
      </c>
      <c r="T123" t="str">
        <f>IFERROR(VLOOKUP(ROWS($T$3:T123),$R$3:$S$718,2,0),"")</f>
        <v>Pěstování obilovin (kromě rýže), luštěnin a olejnatých semen</v>
      </c>
      <c r="U123">
        <f>IF(ISNUMBER(SEARCH('1Př1'!$A$33,N123)),MAX($M$2:M122)+1,0)</f>
        <v>121</v>
      </c>
      <c r="V123" s="287" t="s">
        <v>1205</v>
      </c>
      <c r="W123" t="str">
        <f>IFERROR(VLOOKUP(ROWS($W$3:W123),$U$3:$V$718,2,0),"")</f>
        <v>Pěstování obilovin (kromě rýže), luštěnin a olejnatých semen</v>
      </c>
      <c r="X123">
        <f>IF(ISNUMBER(SEARCH('1Př1'!$A$34,N123)),MAX($M$2:M122)+1,0)</f>
        <v>121</v>
      </c>
      <c r="Y123" s="287" t="s">
        <v>1205</v>
      </c>
      <c r="Z123" t="str">
        <f>IFERROR(VLOOKUP(ROWS($Z$3:Z123),$X$3:$Y$718,2,0),"")</f>
        <v>Pěstování obilovin (kromě rýže), luštěnin a olejnatých semen</v>
      </c>
    </row>
    <row r="124" spans="1:26" ht="12.75" customHeight="1">
      <c r="A124" s="263"/>
      <c r="B124" s="263"/>
      <c r="C124" s="263"/>
      <c r="D124" s="279">
        <f>IF(ISNUMBER(SEARCH(ZAKL_DATA!$B$14,E124)),MAX($D$2:D123)+1,0)</f>
        <v>122</v>
      </c>
      <c r="E124" s="291" t="s">
        <v>1206</v>
      </c>
      <c r="F124" s="292">
        <v>2806</v>
      </c>
      <c r="G124" s="293"/>
      <c r="H124" s="294" t="str">
        <f>IFERROR(VLOOKUP(ROWS($H$3:H124),$D$3:$E$204,2,0),"")</f>
        <v>MORAVSKÁ TŘEBOVÁ</v>
      </c>
      <c r="I124" s="263"/>
      <c r="J124" s="301" t="s">
        <v>1207</v>
      </c>
      <c r="K124" s="302" t="s">
        <v>1208</v>
      </c>
      <c r="M124" s="286">
        <f>IF(ISNUMBER(SEARCH(ZAKL_DATA!$B$29,N124)),MAX($M$2:M123)+1,0)</f>
        <v>122</v>
      </c>
      <c r="N124" s="791" t="s">
        <v>1705</v>
      </c>
      <c r="O124" s="791" t="s">
        <v>3323</v>
      </c>
      <c r="Q124" s="288" t="str">
        <f>IFERROR(VLOOKUP(ROWS($Q$3:Q124),$M$3:$N$718,2,0),"")</f>
        <v>Letecká osobní doprava</v>
      </c>
      <c r="R124">
        <f>IF(ISNUMBER(SEARCH('1Př1'!$A$32,N124)),MAX($M$2:M123)+1,0)</f>
        <v>122</v>
      </c>
      <c r="S124" s="287" t="s">
        <v>1209</v>
      </c>
      <c r="T124" t="str">
        <f>IFERROR(VLOOKUP(ROWS($T$3:T124),$R$3:$S$718,2,0),"")</f>
        <v>Pěstování rýže</v>
      </c>
      <c r="U124">
        <f>IF(ISNUMBER(SEARCH('1Př1'!$A$33,N124)),MAX($M$2:M123)+1,0)</f>
        <v>122</v>
      </c>
      <c r="V124" s="287" t="s">
        <v>1209</v>
      </c>
      <c r="W124" t="str">
        <f>IFERROR(VLOOKUP(ROWS($W$3:W124),$U$3:$V$718,2,0),"")</f>
        <v>Pěstování rýže</v>
      </c>
      <c r="X124">
        <f>IF(ISNUMBER(SEARCH('1Př1'!$A$34,N124)),MAX($M$2:M123)+1,0)</f>
        <v>122</v>
      </c>
      <c r="Y124" s="287" t="s">
        <v>1209</v>
      </c>
      <c r="Z124" t="str">
        <f>IFERROR(VLOOKUP(ROWS($Z$3:Z124),$X$3:$Y$718,2,0),"")</f>
        <v>Pěstování rýže</v>
      </c>
    </row>
    <row r="125" spans="1:26" ht="12.75" customHeight="1">
      <c r="A125" s="263"/>
      <c r="B125" s="263"/>
      <c r="C125" s="263"/>
      <c r="D125" s="279">
        <f>IF(ISNUMBER(SEARCH(ZAKL_DATA!$B$14,E125)),MAX($D$2:D124)+1,0)</f>
        <v>123</v>
      </c>
      <c r="E125" s="291" t="s">
        <v>1210</v>
      </c>
      <c r="F125" s="292">
        <v>2807</v>
      </c>
      <c r="G125" s="293"/>
      <c r="H125" s="294" t="str">
        <f>IFERROR(VLOOKUP(ROWS($H$3:H125),$D$3:$E$204,2,0),"")</f>
        <v>PŘELOUČ</v>
      </c>
      <c r="I125" s="263"/>
      <c r="J125" s="296" t="s">
        <v>1211</v>
      </c>
      <c r="K125" s="285" t="s">
        <v>1212</v>
      </c>
      <c r="M125" s="286">
        <f>IF(ISNUMBER(SEARCH(ZAKL_DATA!$B$29,N125)),MAX($M$2:M124)+1,0)</f>
        <v>123</v>
      </c>
      <c r="N125" s="791" t="s">
        <v>3324</v>
      </c>
      <c r="O125" s="791" t="s">
        <v>3325</v>
      </c>
      <c r="Q125" s="288" t="str">
        <f>IFERROR(VLOOKUP(ROWS($Q$3:Q125),$M$3:$N$718,2,0),"")</f>
        <v>Literární tvorba</v>
      </c>
      <c r="R125">
        <f>IF(ISNUMBER(SEARCH('1Př1'!$A$32,N125)),MAX($M$2:M124)+1,0)</f>
        <v>123</v>
      </c>
      <c r="S125" s="287" t="s">
        <v>1213</v>
      </c>
      <c r="T125" t="str">
        <f>IFERROR(VLOOKUP(ROWS($T$3:T125),$R$3:$S$718,2,0),"")</f>
        <v>Pěstování zeleniny a melounů, kořenů a hlíz</v>
      </c>
      <c r="U125">
        <f>IF(ISNUMBER(SEARCH('1Př1'!$A$33,N125)),MAX($M$2:M124)+1,0)</f>
        <v>123</v>
      </c>
      <c r="V125" s="287" t="s">
        <v>1213</v>
      </c>
      <c r="W125" t="str">
        <f>IFERROR(VLOOKUP(ROWS($W$3:W125),$U$3:$V$718,2,0),"")</f>
        <v>Pěstování zeleniny a melounů, kořenů a hlíz</v>
      </c>
      <c r="X125">
        <f>IF(ISNUMBER(SEARCH('1Př1'!$A$34,N125)),MAX($M$2:M124)+1,0)</f>
        <v>123</v>
      </c>
      <c r="Y125" s="287" t="s">
        <v>1213</v>
      </c>
      <c r="Z125" t="str">
        <f>IFERROR(VLOOKUP(ROWS($Z$3:Z125),$X$3:$Y$718,2,0),"")</f>
        <v>Pěstování zeleniny a melounů, kořenů a hlíz</v>
      </c>
    </row>
    <row r="126" spans="1:26" ht="12.75" customHeight="1">
      <c r="A126" s="263"/>
      <c r="B126" s="263"/>
      <c r="C126" s="263"/>
      <c r="D126" s="279">
        <f>IF(ISNUMBER(SEARCH(ZAKL_DATA!$B$14,E126)),MAX($D$2:D125)+1,0)</f>
        <v>124</v>
      </c>
      <c r="E126" s="291" t="s">
        <v>1214</v>
      </c>
      <c r="F126" s="292">
        <v>2808</v>
      </c>
      <c r="G126" s="293"/>
      <c r="H126" s="294" t="str">
        <f>IFERROR(VLOOKUP(ROWS($H$3:H126),$D$3:$E$204,2,0),"")</f>
        <v>SVITAVY</v>
      </c>
      <c r="I126" s="263"/>
      <c r="J126" s="296" t="s">
        <v>1215</v>
      </c>
      <c r="K126" s="285" t="s">
        <v>1216</v>
      </c>
      <c r="M126" s="286">
        <f>IF(ISNUMBER(SEARCH(ZAKL_DATA!$B$29,N126)),MAX($M$2:M125)+1,0)</f>
        <v>124</v>
      </c>
      <c r="N126" s="791" t="s">
        <v>3326</v>
      </c>
      <c r="O126" s="791" t="s">
        <v>3327</v>
      </c>
      <c r="Q126" s="288" t="str">
        <f>IFERROR(VLOOKUP(ROWS($Q$3:Q126),$M$3:$N$718,2,0),"")</f>
        <v>Logistické činnosti</v>
      </c>
      <c r="R126">
        <f>IF(ISNUMBER(SEARCH('1Př1'!$A$32,N126)),MAX($M$2:M125)+1,0)</f>
        <v>124</v>
      </c>
      <c r="S126" s="287" t="s">
        <v>1217</v>
      </c>
      <c r="T126" t="str">
        <f>IFERROR(VLOOKUP(ROWS($T$3:T126),$R$3:$S$718,2,0),"")</f>
        <v>Pěstování tabáku</v>
      </c>
      <c r="U126">
        <f>IF(ISNUMBER(SEARCH('1Př1'!$A$33,N126)),MAX($M$2:M125)+1,0)</f>
        <v>124</v>
      </c>
      <c r="V126" s="287" t="s">
        <v>1217</v>
      </c>
      <c r="W126" t="str">
        <f>IFERROR(VLOOKUP(ROWS($W$3:W126),$U$3:$V$718,2,0),"")</f>
        <v>Pěstování tabáku</v>
      </c>
      <c r="X126">
        <f>IF(ISNUMBER(SEARCH('1Př1'!$A$34,N126)),MAX($M$2:M125)+1,0)</f>
        <v>124</v>
      </c>
      <c r="Y126" s="287" t="s">
        <v>1217</v>
      </c>
      <c r="Z126" t="str">
        <f>IFERROR(VLOOKUP(ROWS($Z$3:Z126),$X$3:$Y$718,2,0),"")</f>
        <v>Pěstování tabáku</v>
      </c>
    </row>
    <row r="127" spans="1:26" ht="12.75" customHeight="1">
      <c r="A127" s="263"/>
      <c r="B127" s="263"/>
      <c r="C127" s="263"/>
      <c r="D127" s="279">
        <f>IF(ISNUMBER(SEARCH(ZAKL_DATA!$B$14,E127)),MAX($D$2:D126)+1,0)</f>
        <v>125</v>
      </c>
      <c r="E127" s="291" t="s">
        <v>1218</v>
      </c>
      <c r="F127" s="292">
        <v>2809</v>
      </c>
      <c r="G127" s="293"/>
      <c r="H127" s="294" t="str">
        <f>IFERROR(VLOOKUP(ROWS($H$3:H127),$D$3:$E$204,2,0),"")</f>
        <v>ÚSTÍ NAD ORLICÍ</v>
      </c>
      <c r="I127" s="263"/>
      <c r="J127" s="296" t="s">
        <v>1219</v>
      </c>
      <c r="K127" s="285" t="s">
        <v>1220</v>
      </c>
      <c r="M127" s="286">
        <f>IF(ISNUMBER(SEARCH(ZAKL_DATA!$B$29,N127)),MAX($M$2:M126)+1,0)</f>
        <v>125</v>
      </c>
      <c r="N127" s="791" t="s">
        <v>815</v>
      </c>
      <c r="O127" s="791" t="s">
        <v>3328</v>
      </c>
      <c r="Q127" s="288" t="str">
        <f>IFERROR(VLOOKUP(ROWS($Q$3:Q127),$M$3:$N$718,2,0),"")</f>
        <v>Lov a odchyt divokých zvířat a související činnosti</v>
      </c>
      <c r="R127">
        <f>IF(ISNUMBER(SEARCH('1Př1'!$A$32,N127)),MAX($M$2:M126)+1,0)</f>
        <v>125</v>
      </c>
      <c r="S127" s="287" t="s">
        <v>1221</v>
      </c>
      <c r="T127" t="str">
        <f>IFERROR(VLOOKUP(ROWS($T$3:T127),$R$3:$S$718,2,0),"")</f>
        <v>Pěstování přadných rostlin</v>
      </c>
      <c r="U127">
        <f>IF(ISNUMBER(SEARCH('1Př1'!$A$33,N127)),MAX($M$2:M126)+1,0)</f>
        <v>125</v>
      </c>
      <c r="V127" s="287" t="s">
        <v>1221</v>
      </c>
      <c r="W127" t="str">
        <f>IFERROR(VLOOKUP(ROWS($W$3:W127),$U$3:$V$718,2,0),"")</f>
        <v>Pěstování přadných rostlin</v>
      </c>
      <c r="X127">
        <f>IF(ISNUMBER(SEARCH('1Př1'!$A$34,N127)),MAX($M$2:M126)+1,0)</f>
        <v>125</v>
      </c>
      <c r="Y127" s="287" t="s">
        <v>1221</v>
      </c>
      <c r="Z127" t="str">
        <f>IFERROR(VLOOKUP(ROWS($Z$3:Z127),$X$3:$Y$718,2,0),"")</f>
        <v>Pěstování přadných rostlin</v>
      </c>
    </row>
    <row r="128" spans="1:26" ht="12.75" customHeight="1">
      <c r="A128" s="263"/>
      <c r="B128" s="263"/>
      <c r="C128" s="263"/>
      <c r="D128" s="279">
        <f>IF(ISNUMBER(SEARCH(ZAKL_DATA!$B$14,E128)),MAX($D$2:D127)+1,0)</f>
        <v>126</v>
      </c>
      <c r="E128" s="291" t="s">
        <v>1222</v>
      </c>
      <c r="F128" s="292">
        <v>2810</v>
      </c>
      <c r="G128" s="293"/>
      <c r="H128" s="294" t="str">
        <f>IFERROR(VLOOKUP(ROWS($H$3:H128),$D$3:$E$204,2,0),"")</f>
        <v>VYSOKÉ MÝTO</v>
      </c>
      <c r="I128" s="263"/>
      <c r="J128" s="296" t="s">
        <v>1223</v>
      </c>
      <c r="K128" s="285" t="s">
        <v>1224</v>
      </c>
      <c r="M128" s="286">
        <f>IF(ISNUMBER(SEARCH(ZAKL_DATA!$B$29,N128)),MAX($M$2:M127)+1,0)</f>
        <v>126</v>
      </c>
      <c r="N128" s="791" t="s">
        <v>3329</v>
      </c>
      <c r="O128" s="791" t="s">
        <v>3330</v>
      </c>
      <c r="Q128" s="288" t="str">
        <f>IFERROR(VLOOKUP(ROWS($Q$3:Q128),$M$3:$N$718,2,0),"")</f>
        <v>Lůžková zdravotní péče</v>
      </c>
      <c r="R128">
        <f>IF(ISNUMBER(SEARCH('1Př1'!$A$32,N128)),MAX($M$2:M127)+1,0)</f>
        <v>126</v>
      </c>
      <c r="S128" s="287" t="s">
        <v>1225</v>
      </c>
      <c r="T128" t="str">
        <f>IFERROR(VLOOKUP(ROWS($T$3:T128),$R$3:$S$718,2,0),"")</f>
        <v>Pěstování ostatních plodin jiných než trvalých</v>
      </c>
      <c r="U128">
        <f>IF(ISNUMBER(SEARCH('1Př1'!$A$33,N128)),MAX($M$2:M127)+1,0)</f>
        <v>126</v>
      </c>
      <c r="V128" s="287" t="s">
        <v>1225</v>
      </c>
      <c r="W128" t="str">
        <f>IFERROR(VLOOKUP(ROWS($W$3:W128),$U$3:$V$718,2,0),"")</f>
        <v>Pěstování ostatních plodin jiných než trvalých</v>
      </c>
      <c r="X128">
        <f>IF(ISNUMBER(SEARCH('1Př1'!$A$34,N128)),MAX($M$2:M127)+1,0)</f>
        <v>126</v>
      </c>
      <c r="Y128" s="287" t="s">
        <v>1225</v>
      </c>
      <c r="Z128" t="str">
        <f>IFERROR(VLOOKUP(ROWS($Z$3:Z128),$X$3:$Y$718,2,0),"")</f>
        <v>Pěstování ostatních plodin jiných než trvalých</v>
      </c>
    </row>
    <row r="129" spans="1:26" ht="12.75" customHeight="1">
      <c r="A129" s="263"/>
      <c r="B129" s="263"/>
      <c r="C129" s="263"/>
      <c r="D129" s="279">
        <f>IF(ISNUMBER(SEARCH(ZAKL_DATA!$B$14,E129)),MAX($D$2:D128)+1,0)</f>
        <v>127</v>
      </c>
      <c r="E129" s="291" t="s">
        <v>1226</v>
      </c>
      <c r="F129" s="292">
        <v>2811</v>
      </c>
      <c r="G129" s="293"/>
      <c r="H129" s="294" t="str">
        <f>IFERROR(VLOOKUP(ROWS($H$3:H129),$D$3:$E$204,2,0),"")</f>
        <v>ŽAMBERK</v>
      </c>
      <c r="I129" s="263"/>
      <c r="J129" s="296" t="s">
        <v>1227</v>
      </c>
      <c r="K129" s="285" t="s">
        <v>1228</v>
      </c>
      <c r="M129" s="286">
        <f>IF(ISNUMBER(SEARCH(ZAKL_DATA!$B$29,N129)),MAX($M$2:M128)+1,0)</f>
        <v>127</v>
      </c>
      <c r="N129" s="791" t="s">
        <v>3331</v>
      </c>
      <c r="O129" s="791" t="s">
        <v>3332</v>
      </c>
      <c r="Q129" s="288" t="str">
        <f>IFERROR(VLOOKUP(ROWS($Q$3:Q129),$M$3:$N$718,2,0),"")</f>
        <v>Maloobchod s díly a příslušenstvím pro motorová vozidla</v>
      </c>
      <c r="R129">
        <f>IF(ISNUMBER(SEARCH('1Př1'!$A$32,N129)),MAX($M$2:M128)+1,0)</f>
        <v>127</v>
      </c>
      <c r="S129" s="287" t="s">
        <v>1229</v>
      </c>
      <c r="T129" t="str">
        <f>IFERROR(VLOOKUP(ROWS($T$3:T129),$R$3:$S$718,2,0),"")</f>
        <v>Pěstování vinných hroznů</v>
      </c>
      <c r="U129">
        <f>IF(ISNUMBER(SEARCH('1Př1'!$A$33,N129)),MAX($M$2:M128)+1,0)</f>
        <v>127</v>
      </c>
      <c r="V129" s="287" t="s">
        <v>1229</v>
      </c>
      <c r="W129" t="str">
        <f>IFERROR(VLOOKUP(ROWS($W$3:W129),$U$3:$V$718,2,0),"")</f>
        <v>Pěstování vinných hroznů</v>
      </c>
      <c r="X129">
        <f>IF(ISNUMBER(SEARCH('1Př1'!$A$34,N129)),MAX($M$2:M128)+1,0)</f>
        <v>127</v>
      </c>
      <c r="Y129" s="287" t="s">
        <v>1229</v>
      </c>
      <c r="Z129" t="str">
        <f>IFERROR(VLOOKUP(ROWS($Z$3:Z129),$X$3:$Y$718,2,0),"")</f>
        <v>Pěstování vinných hroznů</v>
      </c>
    </row>
    <row r="130" spans="1:26" ht="12.75" customHeight="1">
      <c r="A130" s="263"/>
      <c r="B130" s="263"/>
      <c r="C130" s="263"/>
      <c r="D130" s="279">
        <f>IF(ISNUMBER(SEARCH(ZAKL_DATA!$B$14,E130)),MAX($D$2:D129)+1,0)</f>
        <v>128</v>
      </c>
      <c r="E130" s="291" t="s">
        <v>1230</v>
      </c>
      <c r="F130" s="292">
        <v>2901</v>
      </c>
      <c r="G130" s="293"/>
      <c r="H130" s="294" t="str">
        <f>IFERROR(VLOOKUP(ROWS($H$3:H130),$D$3:$E$204,2,0),"")</f>
        <v>JIHLAVA</v>
      </c>
      <c r="I130" s="263"/>
      <c r="J130" s="296" t="s">
        <v>1231</v>
      </c>
      <c r="K130" s="285" t="s">
        <v>1232</v>
      </c>
      <c r="M130" s="286">
        <f>IF(ISNUMBER(SEARCH(ZAKL_DATA!$B$29,N130)),MAX($M$2:M129)+1,0)</f>
        <v>128</v>
      </c>
      <c r="N130" s="791" t="s">
        <v>3333</v>
      </c>
      <c r="O130" s="791" t="s">
        <v>3334</v>
      </c>
      <c r="Q130" s="288" t="str">
        <f>IFERROR(VLOOKUP(ROWS($Q$3:Q130),$M$3:$N$718,2,0),"")</f>
        <v>Maloobchod s elektrospotřebiči a elektronikou převážně pro domácnost</v>
      </c>
      <c r="R130">
        <f>IF(ISNUMBER(SEARCH('1Př1'!$A$32,N130)),MAX($M$2:M129)+1,0)</f>
        <v>128</v>
      </c>
      <c r="S130" s="287" t="s">
        <v>1233</v>
      </c>
      <c r="T130" t="str">
        <f>IFERROR(VLOOKUP(ROWS($T$3:T130),$R$3:$S$718,2,0),"")</f>
        <v>Pěstování tropického a subtropického ovoce</v>
      </c>
      <c r="U130">
        <f>IF(ISNUMBER(SEARCH('1Př1'!$A$33,N130)),MAX($M$2:M129)+1,0)</f>
        <v>128</v>
      </c>
      <c r="V130" s="287" t="s">
        <v>1233</v>
      </c>
      <c r="W130" t="str">
        <f>IFERROR(VLOOKUP(ROWS($W$3:W130),$U$3:$V$718,2,0),"")</f>
        <v>Pěstování tropického a subtropického ovoce</v>
      </c>
      <c r="X130">
        <f>IF(ISNUMBER(SEARCH('1Př1'!$A$34,N130)),MAX($M$2:M129)+1,0)</f>
        <v>128</v>
      </c>
      <c r="Y130" s="287" t="s">
        <v>1233</v>
      </c>
      <c r="Z130" t="str">
        <f>IFERROR(VLOOKUP(ROWS($Z$3:Z130),$X$3:$Y$718,2,0),"")</f>
        <v>Pěstování tropického a subtropického ovoce</v>
      </c>
    </row>
    <row r="131" spans="1:26" ht="12.75" customHeight="1">
      <c r="A131" s="263"/>
      <c r="B131" s="263"/>
      <c r="C131" s="263"/>
      <c r="D131" s="279">
        <f>IF(ISNUMBER(SEARCH(ZAKL_DATA!$B$14,E131)),MAX($D$2:D130)+1,0)</f>
        <v>129</v>
      </c>
      <c r="E131" s="291" t="s">
        <v>1234</v>
      </c>
      <c r="F131" s="292">
        <v>2902</v>
      </c>
      <c r="G131" s="293"/>
      <c r="H131" s="294" t="str">
        <f>IFERROR(VLOOKUP(ROWS($H$3:H131),$D$3:$E$204,2,0),"")</f>
        <v>BYSTŘICE NAD PERN.</v>
      </c>
      <c r="I131" s="263"/>
      <c r="J131" s="296" t="s">
        <v>1235</v>
      </c>
      <c r="K131" s="285" t="s">
        <v>1236</v>
      </c>
      <c r="M131" s="286">
        <f>IF(ISNUMBER(SEARCH(ZAKL_DATA!$B$29,N131)),MAX($M$2:M130)+1,0)</f>
        <v>129</v>
      </c>
      <c r="N131" s="791" t="s">
        <v>3335</v>
      </c>
      <c r="O131" s="791" t="s">
        <v>3336</v>
      </c>
      <c r="Q131" s="288" t="str">
        <f>IFERROR(VLOOKUP(ROWS($Q$3:Q131),$M$3:$N$718,2,0),"")</f>
        <v>Maloobchod s farmaceutickými výrobky</v>
      </c>
      <c r="R131">
        <f>IF(ISNUMBER(SEARCH('1Př1'!$A$32,N131)),MAX($M$2:M130)+1,0)</f>
        <v>129</v>
      </c>
      <c r="S131" s="287" t="s">
        <v>1237</v>
      </c>
      <c r="T131" t="str">
        <f>IFERROR(VLOOKUP(ROWS($T$3:T131),$R$3:$S$718,2,0),"")</f>
        <v>Pěstování citrusových plodů</v>
      </c>
      <c r="U131">
        <f>IF(ISNUMBER(SEARCH('1Př1'!$A$33,N131)),MAX($M$2:M130)+1,0)</f>
        <v>129</v>
      </c>
      <c r="V131" s="287" t="s">
        <v>1237</v>
      </c>
      <c r="W131" t="str">
        <f>IFERROR(VLOOKUP(ROWS($W$3:W131),$U$3:$V$718,2,0),"")</f>
        <v>Pěstování citrusových plodů</v>
      </c>
      <c r="X131">
        <f>IF(ISNUMBER(SEARCH('1Př1'!$A$34,N131)),MAX($M$2:M130)+1,0)</f>
        <v>129</v>
      </c>
      <c r="Y131" s="287" t="s">
        <v>1237</v>
      </c>
      <c r="Z131" t="str">
        <f>IFERROR(VLOOKUP(ROWS($Z$3:Z131),$X$3:$Y$718,2,0),"")</f>
        <v>Pěstování citrusových plodů</v>
      </c>
    </row>
    <row r="132" spans="1:26" ht="12.75" customHeight="1">
      <c r="A132" s="263"/>
      <c r="B132" s="263"/>
      <c r="C132" s="263"/>
      <c r="D132" s="279">
        <f>IF(ISNUMBER(SEARCH(ZAKL_DATA!$B$14,E132)),MAX($D$2:D131)+1,0)</f>
        <v>130</v>
      </c>
      <c r="E132" s="291" t="s">
        <v>1238</v>
      </c>
      <c r="F132" s="292">
        <v>2903</v>
      </c>
      <c r="G132" s="293"/>
      <c r="H132" s="294" t="str">
        <f>IFERROR(VLOOKUP(ROWS($H$3:H132),$D$3:$E$204,2,0),"")</f>
        <v>HAVLÍČKŮV BROD</v>
      </c>
      <c r="I132" s="263"/>
      <c r="J132" s="296" t="s">
        <v>1239</v>
      </c>
      <c r="K132" s="285" t="s">
        <v>1240</v>
      </c>
      <c r="M132" s="286">
        <f>IF(ISNUMBER(SEARCH(ZAKL_DATA!$B$29,N132)),MAX($M$2:M131)+1,0)</f>
        <v>130</v>
      </c>
      <c r="N132" s="791" t="s">
        <v>2115</v>
      </c>
      <c r="O132" s="791" t="s">
        <v>3337</v>
      </c>
      <c r="Q132" s="288" t="str">
        <f>IFERROR(VLOOKUP(ROWS($Q$3:Q132),$M$3:$N$718,2,0),"")</f>
        <v>Maloobchod s hodinami, hodinkami a klenoty</v>
      </c>
      <c r="R132">
        <f>IF(ISNUMBER(SEARCH('1Př1'!$A$32,N132)),MAX($M$2:M131)+1,0)</f>
        <v>130</v>
      </c>
      <c r="S132" s="287" t="s">
        <v>1241</v>
      </c>
      <c r="T132" t="str">
        <f>IFERROR(VLOOKUP(ROWS($T$3:T132),$R$3:$S$718,2,0),"")</f>
        <v>Pěstování jádrového a peckového ovoce</v>
      </c>
      <c r="U132">
        <f>IF(ISNUMBER(SEARCH('1Př1'!$A$33,N132)),MAX($M$2:M131)+1,0)</f>
        <v>130</v>
      </c>
      <c r="V132" s="287" t="s">
        <v>1241</v>
      </c>
      <c r="W132" t="str">
        <f>IFERROR(VLOOKUP(ROWS($W$3:W132),$U$3:$V$718,2,0),"")</f>
        <v>Pěstování jádrového a peckového ovoce</v>
      </c>
      <c r="X132">
        <f>IF(ISNUMBER(SEARCH('1Př1'!$A$34,N132)),MAX($M$2:M131)+1,0)</f>
        <v>130</v>
      </c>
      <c r="Y132" s="287" t="s">
        <v>1241</v>
      </c>
      <c r="Z132" t="str">
        <f>IFERROR(VLOOKUP(ROWS($Z$3:Z132),$X$3:$Y$718,2,0),"")</f>
        <v>Pěstování jádrového a peckového ovoce</v>
      </c>
    </row>
    <row r="133" spans="1:26" ht="12.75" customHeight="1">
      <c r="A133" s="263"/>
      <c r="B133" s="263"/>
      <c r="C133" s="263"/>
      <c r="D133" s="279">
        <f>IF(ISNUMBER(SEARCH(ZAKL_DATA!$B$14,E133)),MAX($D$2:D132)+1,0)</f>
        <v>131</v>
      </c>
      <c r="E133" s="291" t="s">
        <v>1242</v>
      </c>
      <c r="F133" s="292">
        <v>2904</v>
      </c>
      <c r="G133" s="293"/>
      <c r="H133" s="294" t="str">
        <f>IFERROR(VLOOKUP(ROWS($H$3:H133),$D$3:$E$204,2,0),"")</f>
        <v>HUMPOLEC</v>
      </c>
      <c r="I133" s="263"/>
      <c r="J133" s="299" t="s">
        <v>1243</v>
      </c>
      <c r="K133" s="300" t="s">
        <v>1244</v>
      </c>
      <c r="M133" s="286">
        <f>IF(ISNUMBER(SEARCH(ZAKL_DATA!$B$29,N133)),MAX($M$2:M132)+1,0)</f>
        <v>131</v>
      </c>
      <c r="N133" s="791" t="s">
        <v>2108</v>
      </c>
      <c r="O133" s="791" t="s">
        <v>3338</v>
      </c>
      <c r="Q133" s="288" t="str">
        <f>IFERROR(VLOOKUP(ROWS($Q$3:Q133),$M$3:$N$718,2,0),"")</f>
        <v>Maloobchod s hrami a hračkami</v>
      </c>
      <c r="R133">
        <f>IF(ISNUMBER(SEARCH('1Př1'!$A$32,N133)),MAX($M$2:M132)+1,0)</f>
        <v>131</v>
      </c>
      <c r="S133" s="287" t="s">
        <v>1245</v>
      </c>
      <c r="T133" t="str">
        <f>IFERROR(VLOOKUP(ROWS($T$3:T133),$R$3:$S$718,2,0),"")</f>
        <v>Pěstování ostatního stromového a keřového ovoce a ořechů</v>
      </c>
      <c r="U133">
        <f>IF(ISNUMBER(SEARCH('1Př1'!$A$33,N133)),MAX($M$2:M132)+1,0)</f>
        <v>131</v>
      </c>
      <c r="V133" s="287" t="s">
        <v>1245</v>
      </c>
      <c r="W133" t="str">
        <f>IFERROR(VLOOKUP(ROWS($W$3:W133),$U$3:$V$718,2,0),"")</f>
        <v>Pěstování ostatního stromového a keřového ovoce a ořechů</v>
      </c>
      <c r="X133">
        <f>IF(ISNUMBER(SEARCH('1Př1'!$A$34,N133)),MAX($M$2:M132)+1,0)</f>
        <v>131</v>
      </c>
      <c r="Y133" s="287" t="s">
        <v>1245</v>
      </c>
      <c r="Z133" t="str">
        <f>IFERROR(VLOOKUP(ROWS($Z$3:Z133),$X$3:$Y$718,2,0),"")</f>
        <v>Pěstování ostatního stromového a keřového ovoce a ořechů</v>
      </c>
    </row>
    <row r="134" spans="1:26" ht="12.75" customHeight="1">
      <c r="A134" s="263"/>
      <c r="B134" s="263"/>
      <c r="C134" s="263"/>
      <c r="D134" s="279">
        <f>IF(ISNUMBER(SEARCH(ZAKL_DATA!$B$14,E134)),MAX($D$2:D133)+1,0)</f>
        <v>132</v>
      </c>
      <c r="E134" s="291" t="s">
        <v>1246</v>
      </c>
      <c r="F134" s="292">
        <v>2905</v>
      </c>
      <c r="G134" s="293"/>
      <c r="H134" s="294" t="str">
        <f>IFERROR(VLOOKUP(ROWS($H$3:H134),$D$3:$E$204,2,0),"")</f>
        <v>CHOTĚBOŘ</v>
      </c>
      <c r="I134" s="263"/>
      <c r="J134" s="296" t="s">
        <v>1247</v>
      </c>
      <c r="K134" s="285" t="s">
        <v>1248</v>
      </c>
      <c r="M134" s="286">
        <f>IF(ISNUMBER(SEARCH(ZAKL_DATA!$B$29,N134)),MAX($M$2:M133)+1,0)</f>
        <v>132</v>
      </c>
      <c r="N134" s="791" t="s">
        <v>2104</v>
      </c>
      <c r="O134" s="791" t="s">
        <v>3339</v>
      </c>
      <c r="Q134" s="288" t="str">
        <f>IFERROR(VLOOKUP(ROWS($Q$3:Q134),$M$3:$N$718,2,0),"")</f>
        <v>Maloobchod s knihami</v>
      </c>
      <c r="R134">
        <f>IF(ISNUMBER(SEARCH('1Př1'!$A$32,N134)),MAX($M$2:M133)+1,0)</f>
        <v>132</v>
      </c>
      <c r="S134" s="287" t="s">
        <v>1249</v>
      </c>
      <c r="T134" t="str">
        <f>IFERROR(VLOOKUP(ROWS($T$3:T134),$R$3:$S$718,2,0),"")</f>
        <v>Pěstování olejnatých plodů</v>
      </c>
      <c r="U134">
        <f>IF(ISNUMBER(SEARCH('1Př1'!$A$33,N134)),MAX($M$2:M133)+1,0)</f>
        <v>132</v>
      </c>
      <c r="V134" s="287" t="s">
        <v>1249</v>
      </c>
      <c r="W134" t="str">
        <f>IFERROR(VLOOKUP(ROWS($W$3:W134),$U$3:$V$718,2,0),"")</f>
        <v>Pěstování olejnatých plodů</v>
      </c>
      <c r="X134">
        <f>IF(ISNUMBER(SEARCH('1Př1'!$A$34,N134)),MAX($M$2:M133)+1,0)</f>
        <v>132</v>
      </c>
      <c r="Y134" s="287" t="s">
        <v>1249</v>
      </c>
      <c r="Z134" t="str">
        <f>IFERROR(VLOOKUP(ROWS($Z$3:Z134),$X$3:$Y$718,2,0),"")</f>
        <v>Pěstování olejnatých plodů</v>
      </c>
    </row>
    <row r="135" spans="1:26" ht="12.75" customHeight="1">
      <c r="A135" s="263"/>
      <c r="B135" s="263"/>
      <c r="C135" s="263"/>
      <c r="D135" s="279">
        <f>IF(ISNUMBER(SEARCH(ZAKL_DATA!$B$14,E135)),MAX($D$2:D134)+1,0)</f>
        <v>133</v>
      </c>
      <c r="E135" s="291" t="s">
        <v>1250</v>
      </c>
      <c r="F135" s="292">
        <v>2906</v>
      </c>
      <c r="G135" s="293"/>
      <c r="H135" s="294" t="str">
        <f>IFERROR(VLOOKUP(ROWS($H$3:H135),$D$3:$E$204,2,0),"")</f>
        <v>LEDEČ NAD SÁZAVOU</v>
      </c>
      <c r="I135" s="263"/>
      <c r="J135" s="295" t="s">
        <v>1251</v>
      </c>
      <c r="K135" s="285" t="s">
        <v>1252</v>
      </c>
      <c r="M135" s="286">
        <f>IF(ISNUMBER(SEARCH(ZAKL_DATA!$B$29,N135)),MAX($M$2:M134)+1,0)</f>
        <v>133</v>
      </c>
      <c r="N135" s="791" t="s">
        <v>2101</v>
      </c>
      <c r="O135" s="791" t="s">
        <v>3340</v>
      </c>
      <c r="Q135" s="288" t="str">
        <f>IFERROR(VLOOKUP(ROWS($Q$3:Q135),$M$3:$N$718,2,0),"")</f>
        <v>Maloobchod s koberci, podlahovými krytinami a nástěnnými obklady</v>
      </c>
      <c r="R135">
        <f>IF(ISNUMBER(SEARCH('1Př1'!$A$32,N135)),MAX($M$2:M134)+1,0)</f>
        <v>133</v>
      </c>
      <c r="S135" s="287" t="s">
        <v>1253</v>
      </c>
      <c r="T135" t="str">
        <f>IFERROR(VLOOKUP(ROWS($T$3:T135),$R$3:$S$718,2,0),"")</f>
        <v>Pěstování rostlin pro výrobu nápojů</v>
      </c>
      <c r="U135">
        <f>IF(ISNUMBER(SEARCH('1Př1'!$A$33,N135)),MAX($M$2:M134)+1,0)</f>
        <v>133</v>
      </c>
      <c r="V135" s="287" t="s">
        <v>1253</v>
      </c>
      <c r="W135" t="str">
        <f>IFERROR(VLOOKUP(ROWS($W$3:W135),$U$3:$V$718,2,0),"")</f>
        <v>Pěstování rostlin pro výrobu nápojů</v>
      </c>
      <c r="X135">
        <f>IF(ISNUMBER(SEARCH('1Př1'!$A$34,N135)),MAX($M$2:M134)+1,0)</f>
        <v>133</v>
      </c>
      <c r="Y135" s="287" t="s">
        <v>1253</v>
      </c>
      <c r="Z135" t="str">
        <f>IFERROR(VLOOKUP(ROWS($Z$3:Z135),$X$3:$Y$718,2,0),"")</f>
        <v>Pěstování rostlin pro výrobu nápojů</v>
      </c>
    </row>
    <row r="136" spans="1:26" ht="12.75" customHeight="1">
      <c r="A136" s="263"/>
      <c r="B136" s="263"/>
      <c r="C136" s="263"/>
      <c r="D136" s="279">
        <f>IF(ISNUMBER(SEARCH(ZAKL_DATA!$B$14,E136)),MAX($D$2:D135)+1,0)</f>
        <v>134</v>
      </c>
      <c r="E136" s="291" t="s">
        <v>1254</v>
      </c>
      <c r="F136" s="292">
        <v>2907</v>
      </c>
      <c r="G136" s="293"/>
      <c r="H136" s="294" t="str">
        <f>IFERROR(VLOOKUP(ROWS($H$3:H136),$D$3:$E$204,2,0),"")</f>
        <v>MORAVSKÉ BUDĚJOVICE</v>
      </c>
      <c r="I136" s="263"/>
      <c r="J136" s="296" t="s">
        <v>1255</v>
      </c>
      <c r="K136" s="285" t="s">
        <v>1256</v>
      </c>
      <c r="M136" s="286">
        <f>IF(ISNUMBER(SEARCH(ZAKL_DATA!$B$29,N136)),MAX($M$2:M135)+1,0)</f>
        <v>134</v>
      </c>
      <c r="N136" s="791" t="s">
        <v>2113</v>
      </c>
      <c r="O136" s="791" t="s">
        <v>3341</v>
      </c>
      <c r="Q136" s="288" t="str">
        <f>IFERROR(VLOOKUP(ROWS($Q$3:Q136),$M$3:$N$718,2,0),"")</f>
        <v>Maloobchod s kosmetickými a toaletními výrobky</v>
      </c>
      <c r="R136">
        <f>IF(ISNUMBER(SEARCH('1Př1'!$A$32,N136)),MAX($M$2:M135)+1,0)</f>
        <v>134</v>
      </c>
      <c r="S136" s="287" t="s">
        <v>1257</v>
      </c>
      <c r="T136" t="str">
        <f>IFERROR(VLOOKUP(ROWS($T$3:T136),$R$3:$S$718,2,0),"")</f>
        <v>Pěstování koření, aromatických, léčivých a farmaceutických rostlin</v>
      </c>
      <c r="U136">
        <f>IF(ISNUMBER(SEARCH('1Př1'!$A$33,N136)),MAX($M$2:M135)+1,0)</f>
        <v>134</v>
      </c>
      <c r="V136" s="287" t="s">
        <v>1257</v>
      </c>
      <c r="W136" t="str">
        <f>IFERROR(VLOOKUP(ROWS($W$3:W136),$U$3:$V$718,2,0),"")</f>
        <v>Pěstování koření, aromatických, léčivých a farmaceutických rostlin</v>
      </c>
      <c r="X136">
        <f>IF(ISNUMBER(SEARCH('1Př1'!$A$34,N136)),MAX($M$2:M135)+1,0)</f>
        <v>134</v>
      </c>
      <c r="Y136" s="287" t="s">
        <v>1257</v>
      </c>
      <c r="Z136" t="str">
        <f>IFERROR(VLOOKUP(ROWS($Z$3:Z136),$X$3:$Y$718,2,0),"")</f>
        <v>Pěstování koření, aromatických, léčivých a farmaceutických rostlin</v>
      </c>
    </row>
    <row r="137" spans="1:26" ht="12.75" customHeight="1">
      <c r="A137" s="263"/>
      <c r="B137" s="263"/>
      <c r="C137" s="263"/>
      <c r="D137" s="279">
        <f>IF(ISNUMBER(SEARCH(ZAKL_DATA!$B$14,E137)),MAX($D$2:D136)+1,0)</f>
        <v>135</v>
      </c>
      <c r="E137" s="291" t="s">
        <v>1258</v>
      </c>
      <c r="F137" s="292">
        <v>2908</v>
      </c>
      <c r="G137" s="293"/>
      <c r="H137" s="294" t="str">
        <f>IFERROR(VLOOKUP(ROWS($H$3:H137),$D$3:$E$204,2,0),"")</f>
        <v>NÁMĚŠŤ NAD OSLAVOU</v>
      </c>
      <c r="I137" s="263"/>
      <c r="J137" s="296" t="s">
        <v>1259</v>
      </c>
      <c r="K137" s="285" t="s">
        <v>1260</v>
      </c>
      <c r="M137" s="286">
        <f>IF(ISNUMBER(SEARCH(ZAKL_DATA!$B$29,N137)),MAX($M$2:M136)+1,0)</f>
        <v>135</v>
      </c>
      <c r="N137" s="791" t="s">
        <v>3342</v>
      </c>
      <c r="O137" s="791" t="s">
        <v>3343</v>
      </c>
      <c r="Q137" s="288" t="str">
        <f>IFERROR(VLOOKUP(ROWS($Q$3:Q137),$M$3:$N$718,2,0),"")</f>
        <v>Maloobchod s květinami, rostlinami, hnojivy, zvířaty pro zájmový chov a krmivy pro ně</v>
      </c>
      <c r="R137">
        <f>IF(ISNUMBER(SEARCH('1Př1'!$A$32,N137)),MAX($M$2:M136)+1,0)</f>
        <v>135</v>
      </c>
      <c r="S137" s="287" t="s">
        <v>1261</v>
      </c>
      <c r="T137" t="str">
        <f>IFERROR(VLOOKUP(ROWS($T$3:T137),$R$3:$S$718,2,0),"")</f>
        <v>Pěstování ostatních trvalých plodin</v>
      </c>
      <c r="U137">
        <f>IF(ISNUMBER(SEARCH('1Př1'!$A$33,N137)),MAX($M$2:M136)+1,0)</f>
        <v>135</v>
      </c>
      <c r="V137" s="287" t="s">
        <v>1261</v>
      </c>
      <c r="W137" t="str">
        <f>IFERROR(VLOOKUP(ROWS($W$3:W137),$U$3:$V$718,2,0),"")</f>
        <v>Pěstování ostatních trvalých plodin</v>
      </c>
      <c r="X137">
        <f>IF(ISNUMBER(SEARCH('1Př1'!$A$34,N137)),MAX($M$2:M136)+1,0)</f>
        <v>135</v>
      </c>
      <c r="Y137" s="287" t="s">
        <v>1261</v>
      </c>
      <c r="Z137" t="str">
        <f>IFERROR(VLOOKUP(ROWS($Z$3:Z137),$X$3:$Y$718,2,0),"")</f>
        <v>Pěstování ostatních trvalých plodin</v>
      </c>
    </row>
    <row r="138" spans="1:26" ht="12.75" customHeight="1">
      <c r="A138" s="263"/>
      <c r="B138" s="263"/>
      <c r="C138" s="263"/>
      <c r="D138" s="279">
        <f>IF(ISNUMBER(SEARCH(ZAKL_DATA!$B$14,E138)),MAX($D$2:D137)+1,0)</f>
        <v>136</v>
      </c>
      <c r="E138" s="291" t="s">
        <v>1262</v>
      </c>
      <c r="F138" s="292">
        <v>2909</v>
      </c>
      <c r="G138" s="293"/>
      <c r="H138" s="294" t="str">
        <f>IFERROR(VLOOKUP(ROWS($H$3:H138),$D$3:$E$204,2,0),"")</f>
        <v>PACOV</v>
      </c>
      <c r="I138" s="263"/>
      <c r="J138" s="296" t="s">
        <v>1263</v>
      </c>
      <c r="K138" s="285" t="s">
        <v>1264</v>
      </c>
      <c r="M138" s="286">
        <f>IF(ISNUMBER(SEARCH(ZAKL_DATA!$B$29,N138)),MAX($M$2:M137)+1,0)</f>
        <v>136</v>
      </c>
      <c r="N138" s="791" t="s">
        <v>2090</v>
      </c>
      <c r="O138" s="791" t="s">
        <v>3344</v>
      </c>
      <c r="Q138" s="288" t="str">
        <f>IFERROR(VLOOKUP(ROWS($Q$3:Q138),$M$3:$N$718,2,0),"")</f>
        <v>Maloobchod s masem a masnými výrobky</v>
      </c>
      <c r="R138">
        <f>IF(ISNUMBER(SEARCH('1Př1'!$A$32,N138)),MAX($M$2:M137)+1,0)</f>
        <v>136</v>
      </c>
      <c r="S138" s="287" t="s">
        <v>1265</v>
      </c>
      <c r="T138" t="str">
        <f>IFERROR(VLOOKUP(ROWS($T$3:T138),$R$3:$S$718,2,0),"")</f>
        <v>Úprava a spřádání textilních vláken a příze</v>
      </c>
      <c r="U138">
        <f>IF(ISNUMBER(SEARCH('1Př1'!$A$33,N138)),MAX($M$2:M137)+1,0)</f>
        <v>136</v>
      </c>
      <c r="V138" s="287" t="s">
        <v>1265</v>
      </c>
      <c r="W138" t="str">
        <f>IFERROR(VLOOKUP(ROWS($W$3:W138),$U$3:$V$718,2,0),"")</f>
        <v>Úprava a spřádání textilních vláken a příze</v>
      </c>
      <c r="X138">
        <f>IF(ISNUMBER(SEARCH('1Př1'!$A$34,N138)),MAX($M$2:M137)+1,0)</f>
        <v>136</v>
      </c>
      <c r="Y138" s="287" t="s">
        <v>1265</v>
      </c>
      <c r="Z138" t="str">
        <f>IFERROR(VLOOKUP(ROWS($Z$3:Z138),$X$3:$Y$718,2,0),"")</f>
        <v>Úprava a spřádání textilních vláken a příze</v>
      </c>
    </row>
    <row r="139" spans="1:26" ht="12.75" customHeight="1">
      <c r="A139" s="263"/>
      <c r="B139" s="263"/>
      <c r="C139" s="263"/>
      <c r="D139" s="279">
        <f>IF(ISNUMBER(SEARCH(ZAKL_DATA!$B$14,E139)),MAX($D$2:D138)+1,0)</f>
        <v>137</v>
      </c>
      <c r="E139" s="291" t="s">
        <v>1266</v>
      </c>
      <c r="F139" s="292">
        <v>2910</v>
      </c>
      <c r="G139" s="293"/>
      <c r="H139" s="294" t="str">
        <f>IFERROR(VLOOKUP(ROWS($H$3:H139),$D$3:$E$204,2,0),"")</f>
        <v>PELHŘIMOV</v>
      </c>
      <c r="I139" s="263"/>
      <c r="J139" s="296" t="s">
        <v>1267</v>
      </c>
      <c r="K139" s="285" t="s">
        <v>1268</v>
      </c>
      <c r="M139" s="286">
        <f>IF(ISNUMBER(SEARCH(ZAKL_DATA!$B$29,N139)),MAX($M$2:M138)+1,0)</f>
        <v>137</v>
      </c>
      <c r="N139" s="791" t="s">
        <v>3345</v>
      </c>
      <c r="O139" s="791" t="s">
        <v>3346</v>
      </c>
      <c r="Q139" s="288" t="str">
        <f>IFERROR(VLOOKUP(ROWS($Q$3:Q139),$M$3:$N$718,2,0),"")</f>
        <v>Maloobchod s motocykly a díly a příslušenstvím pro motocykly</v>
      </c>
      <c r="R139">
        <f>IF(ISNUMBER(SEARCH('1Př1'!$A$32,N139)),MAX($M$2:M138)+1,0)</f>
        <v>137</v>
      </c>
      <c r="S139" s="287" t="s">
        <v>1269</v>
      </c>
      <c r="T139" t="str">
        <f>IFERROR(VLOOKUP(ROWS($T$3:T139),$R$3:$S$718,2,0),"")</f>
        <v>Tkaní textilií</v>
      </c>
      <c r="U139">
        <f>IF(ISNUMBER(SEARCH('1Př1'!$A$33,N139)),MAX($M$2:M138)+1,0)</f>
        <v>137</v>
      </c>
      <c r="V139" s="287" t="s">
        <v>1269</v>
      </c>
      <c r="W139" t="str">
        <f>IFERROR(VLOOKUP(ROWS($W$3:W139),$U$3:$V$718,2,0),"")</f>
        <v>Tkaní textilií</v>
      </c>
      <c r="X139">
        <f>IF(ISNUMBER(SEARCH('1Př1'!$A$34,N139)),MAX($M$2:M138)+1,0)</f>
        <v>137</v>
      </c>
      <c r="Y139" s="287" t="s">
        <v>1269</v>
      </c>
      <c r="Z139" t="str">
        <f>IFERROR(VLOOKUP(ROWS($Z$3:Z139),$X$3:$Y$718,2,0),"")</f>
        <v>Tkaní textilií</v>
      </c>
    </row>
    <row r="140" spans="1:26" ht="12.75" customHeight="1">
      <c r="A140" s="263"/>
      <c r="B140" s="263"/>
      <c r="C140" s="263"/>
      <c r="D140" s="279">
        <f>IF(ISNUMBER(SEARCH(ZAKL_DATA!$B$14,E140)),MAX($D$2:D139)+1,0)</f>
        <v>138</v>
      </c>
      <c r="E140" s="291" t="s">
        <v>1270</v>
      </c>
      <c r="F140" s="292">
        <v>2911</v>
      </c>
      <c r="G140" s="293"/>
      <c r="H140" s="294" t="str">
        <f>IFERROR(VLOOKUP(ROWS($H$3:H140),$D$3:$E$204,2,0),"")</f>
        <v>TELČ</v>
      </c>
      <c r="I140" s="263"/>
      <c r="J140" s="296" t="s">
        <v>1271</v>
      </c>
      <c r="K140" s="285" t="s">
        <v>1272</v>
      </c>
      <c r="M140" s="286">
        <f>IF(ISNUMBER(SEARCH(ZAKL_DATA!$B$29,N140)),MAX($M$2:M139)+1,0)</f>
        <v>138</v>
      </c>
      <c r="N140" s="791" t="s">
        <v>3347</v>
      </c>
      <c r="O140" s="791" t="s">
        <v>3348</v>
      </c>
      <c r="Q140" s="288" t="str">
        <f>IFERROR(VLOOKUP(ROWS($Q$3:Q140),$M$3:$N$718,2,0),"")</f>
        <v>Maloobchod s motorovými vozidly</v>
      </c>
      <c r="R140">
        <f>IF(ISNUMBER(SEARCH('1Př1'!$A$32,N140)),MAX($M$2:M139)+1,0)</f>
        <v>138</v>
      </c>
      <c r="S140" s="287" t="s">
        <v>1273</v>
      </c>
      <c r="T140" t="str">
        <f>IFERROR(VLOOKUP(ROWS($T$3:T140),$R$3:$S$718,2,0),"")</f>
        <v>Konečná úprava textilií</v>
      </c>
      <c r="U140">
        <f>IF(ISNUMBER(SEARCH('1Př1'!$A$33,N140)),MAX($M$2:M139)+1,0)</f>
        <v>138</v>
      </c>
      <c r="V140" s="287" t="s">
        <v>1273</v>
      </c>
      <c r="W140" t="str">
        <f>IFERROR(VLOOKUP(ROWS($W$3:W140),$U$3:$V$718,2,0),"")</f>
        <v>Konečná úprava textilií</v>
      </c>
      <c r="X140">
        <f>IF(ISNUMBER(SEARCH('1Př1'!$A$34,N140)),MAX($M$2:M139)+1,0)</f>
        <v>138</v>
      </c>
      <c r="Y140" s="287" t="s">
        <v>1273</v>
      </c>
      <c r="Z140" t="str">
        <f>IFERROR(VLOOKUP(ROWS($Z$3:Z140),$X$3:$Y$718,2,0),"")</f>
        <v>Konečná úprava textilií</v>
      </c>
    </row>
    <row r="141" spans="1:26" ht="12.75" customHeight="1">
      <c r="A141" s="263"/>
      <c r="B141" s="263"/>
      <c r="C141" s="263"/>
      <c r="D141" s="279">
        <f>IF(ISNUMBER(SEARCH(ZAKL_DATA!$B$14,E141)),MAX($D$2:D140)+1,0)</f>
        <v>139</v>
      </c>
      <c r="E141" s="291" t="s">
        <v>1274</v>
      </c>
      <c r="F141" s="292">
        <v>2912</v>
      </c>
      <c r="G141" s="293"/>
      <c r="H141" s="294" t="str">
        <f>IFERROR(VLOOKUP(ROWS($H$3:H141),$D$3:$E$204,2,0),"")</f>
        <v>TŘEBÍČ</v>
      </c>
      <c r="I141" s="263"/>
      <c r="J141" s="296" t="s">
        <v>1275</v>
      </c>
      <c r="K141" s="285" t="s">
        <v>1276</v>
      </c>
      <c r="M141" s="286">
        <f>IF(ISNUMBER(SEARCH(ZAKL_DATA!$B$29,N141)),MAX($M$2:M140)+1,0)</f>
        <v>139</v>
      </c>
      <c r="N141" s="791" t="s">
        <v>3349</v>
      </c>
      <c r="O141" s="791" t="s">
        <v>3350</v>
      </c>
      <c r="Q141" s="288" t="str">
        <f>IFERROR(VLOOKUP(ROWS($Q$3:Q141),$M$3:$N$718,2,0),"")</f>
        <v>Maloobchod s nábytkem, osvětlovacími zařízeními, nádobím a ostatními výrobky převážně pro domácnost</v>
      </c>
      <c r="R141">
        <f>IF(ISNUMBER(SEARCH('1Př1'!$A$32,N141)),MAX($M$2:M140)+1,0)</f>
        <v>139</v>
      </c>
      <c r="S141" s="287" t="s">
        <v>1277</v>
      </c>
      <c r="T141" t="str">
        <f>IFERROR(VLOOKUP(ROWS($T$3:T141),$R$3:$S$718,2,0),"")</f>
        <v>Výroba ostatních textilií</v>
      </c>
      <c r="U141">
        <f>IF(ISNUMBER(SEARCH('1Př1'!$A$33,N141)),MAX($M$2:M140)+1,0)</f>
        <v>139</v>
      </c>
      <c r="V141" s="287" t="s">
        <v>1277</v>
      </c>
      <c r="W141" t="str">
        <f>IFERROR(VLOOKUP(ROWS($W$3:W141),$U$3:$V$718,2,0),"")</f>
        <v>Výroba ostatních textilií</v>
      </c>
      <c r="X141">
        <f>IF(ISNUMBER(SEARCH('1Př1'!$A$34,N141)),MAX($M$2:M140)+1,0)</f>
        <v>139</v>
      </c>
      <c r="Y141" s="287" t="s">
        <v>1277</v>
      </c>
      <c r="Z141" t="str">
        <f>IFERROR(VLOOKUP(ROWS($Z$3:Z141),$X$3:$Y$718,2,0),"")</f>
        <v>Výroba ostatních textilií</v>
      </c>
    </row>
    <row r="142" spans="1:26" ht="12.75" customHeight="1">
      <c r="A142" s="263"/>
      <c r="B142" s="263"/>
      <c r="C142" s="263"/>
      <c r="D142" s="279">
        <f>IF(ISNUMBER(SEARCH(ZAKL_DATA!$B$14,E142)),MAX($D$2:D141)+1,0)</f>
        <v>140</v>
      </c>
      <c r="E142" s="291" t="s">
        <v>1278</v>
      </c>
      <c r="F142" s="292">
        <v>2913</v>
      </c>
      <c r="G142" s="293"/>
      <c r="H142" s="294" t="str">
        <f>IFERROR(VLOOKUP(ROWS($H$3:H142),$D$3:$E$204,2,0),"")</f>
        <v>VELKÉ MEZIŘÍČÍ</v>
      </c>
      <c r="I142" s="263"/>
      <c r="J142" s="296" t="s">
        <v>1279</v>
      </c>
      <c r="K142" s="285" t="s">
        <v>1280</v>
      </c>
      <c r="M142" s="286">
        <f>IF(ISNUMBER(SEARCH(ZAKL_DATA!$B$29,N142)),MAX($M$2:M141)+1,0)</f>
        <v>140</v>
      </c>
      <c r="N142" s="791" t="s">
        <v>2093</v>
      </c>
      <c r="O142" s="791" t="s">
        <v>3351</v>
      </c>
      <c r="Q142" s="288" t="str">
        <f>IFERROR(VLOOKUP(ROWS($Q$3:Q142),$M$3:$N$718,2,0),"")</f>
        <v>Maloobchod s nápoji</v>
      </c>
      <c r="R142">
        <f>IF(ISNUMBER(SEARCH('1Př1'!$A$32,N142)),MAX($M$2:M141)+1,0)</f>
        <v>140</v>
      </c>
      <c r="S142" s="287" t="s">
        <v>1281</v>
      </c>
      <c r="T142" t="str">
        <f>IFERROR(VLOOKUP(ROWS($T$3:T142),$R$3:$S$718,2,0),"")</f>
        <v>Pěstování cukrové třtiny</v>
      </c>
      <c r="U142">
        <f>IF(ISNUMBER(SEARCH('1Př1'!$A$33,N142)),MAX($M$2:M141)+1,0)</f>
        <v>140</v>
      </c>
      <c r="V142" s="287" t="s">
        <v>1281</v>
      </c>
      <c r="W142" t="str">
        <f>IFERROR(VLOOKUP(ROWS($W$3:W142),$U$3:$V$718,2,0),"")</f>
        <v>Pěstování cukrové třtiny</v>
      </c>
      <c r="X142">
        <f>IF(ISNUMBER(SEARCH('1Př1'!$A$34,N142)),MAX($M$2:M141)+1,0)</f>
        <v>140</v>
      </c>
      <c r="Y142" s="287" t="s">
        <v>1281</v>
      </c>
      <c r="Z142" t="str">
        <f>IFERROR(VLOOKUP(ROWS($Z$3:Z142),$X$3:$Y$718,2,0),"")</f>
        <v>Pěstování cukrové třtiny</v>
      </c>
    </row>
    <row r="143" spans="1:26" ht="12.75" customHeight="1">
      <c r="A143" s="263"/>
      <c r="B143" s="263"/>
      <c r="C143" s="263"/>
      <c r="D143" s="279">
        <f>IF(ISNUMBER(SEARCH(ZAKL_DATA!$B$14,E143)),MAX($D$2:D142)+1,0)</f>
        <v>141</v>
      </c>
      <c r="E143" s="291" t="s">
        <v>1282</v>
      </c>
      <c r="F143" s="292">
        <v>2914</v>
      </c>
      <c r="G143" s="293"/>
      <c r="H143" s="294" t="str">
        <f>IFERROR(VLOOKUP(ROWS($H$3:H143),$D$3:$E$204,2,0),"")</f>
        <v>ŽĎÁR NAD SÁZAVOU</v>
      </c>
      <c r="I143" s="263"/>
      <c r="J143" s="296" t="s">
        <v>1283</v>
      </c>
      <c r="K143" s="285" t="s">
        <v>1284</v>
      </c>
      <c r="M143" s="286">
        <f>IF(ISNUMBER(SEARCH(ZAKL_DATA!$B$29,N143)),MAX($M$2:M142)+1,0)</f>
        <v>141</v>
      </c>
      <c r="N143" s="791" t="s">
        <v>3352</v>
      </c>
      <c r="O143" s="791" t="s">
        <v>3353</v>
      </c>
      <c r="Q143" s="288" t="str">
        <f>IFERROR(VLOOKUP(ROWS($Q$3:Q143),$M$3:$N$718,2,0),"")</f>
        <v>Maloobchod s novinami a ostatními periodickými publikacemi</v>
      </c>
      <c r="R143">
        <f>IF(ISNUMBER(SEARCH('1Př1'!$A$32,N143)),MAX($M$2:M142)+1,0)</f>
        <v>141</v>
      </c>
      <c r="S143" s="287" t="s">
        <v>1285</v>
      </c>
      <c r="T143" t="str">
        <f>IFERROR(VLOOKUP(ROWS($T$3:T143),$R$3:$S$718,2,0),"")</f>
        <v>Výroba oděvů, kromě kožešinových výrobků</v>
      </c>
      <c r="U143">
        <f>IF(ISNUMBER(SEARCH('1Př1'!$A$33,N143)),MAX($M$2:M142)+1,0)</f>
        <v>141</v>
      </c>
      <c r="V143" s="287" t="s">
        <v>1285</v>
      </c>
      <c r="W143" t="str">
        <f>IFERROR(VLOOKUP(ROWS($W$3:W143),$U$3:$V$718,2,0),"")</f>
        <v>Výroba oděvů, kromě kožešinových výrobků</v>
      </c>
      <c r="X143">
        <f>IF(ISNUMBER(SEARCH('1Př1'!$A$34,N143)),MAX($M$2:M142)+1,0)</f>
        <v>141</v>
      </c>
      <c r="Y143" s="287" t="s">
        <v>1285</v>
      </c>
      <c r="Z143" t="str">
        <f>IFERROR(VLOOKUP(ROWS($Z$3:Z143),$X$3:$Y$718,2,0),"")</f>
        <v>Výroba oděvů, kromě kožešinových výrobků</v>
      </c>
    </row>
    <row r="144" spans="1:26" ht="12.75" customHeight="1">
      <c r="A144" s="263"/>
      <c r="B144" s="263"/>
      <c r="C144" s="263"/>
      <c r="D144" s="279">
        <f>IF(ISNUMBER(SEARCH(ZAKL_DATA!$B$14,E144)),MAX($D$2:D143)+1,0)</f>
        <v>142</v>
      </c>
      <c r="E144" s="291" t="s">
        <v>1286</v>
      </c>
      <c r="F144" s="292">
        <v>3001</v>
      </c>
      <c r="G144" s="293"/>
      <c r="H144" s="294" t="str">
        <f>IFERROR(VLOOKUP(ROWS($H$3:H144),$D$3:$E$204,2,0),"")</f>
        <v>BRNO I</v>
      </c>
      <c r="I144" s="263"/>
      <c r="J144" s="296" t="s">
        <v>1287</v>
      </c>
      <c r="K144" s="285" t="s">
        <v>1288</v>
      </c>
      <c r="M144" s="286">
        <f>IF(ISNUMBER(SEARCH(ZAKL_DATA!$B$29,N144)),MAX($M$2:M143)+1,0)</f>
        <v>142</v>
      </c>
      <c r="N144" s="791" t="s">
        <v>2110</v>
      </c>
      <c r="O144" s="791" t="s">
        <v>3354</v>
      </c>
      <c r="Q144" s="288" t="str">
        <f>IFERROR(VLOOKUP(ROWS($Q$3:Q144),$M$3:$N$718,2,0),"")</f>
        <v>Maloobchod s obuví a koženými výrobky</v>
      </c>
      <c r="R144">
        <f>IF(ISNUMBER(SEARCH('1Př1'!$A$32,N144)),MAX($M$2:M143)+1,0)</f>
        <v>142</v>
      </c>
      <c r="S144" s="287" t="s">
        <v>1289</v>
      </c>
      <c r="T144" t="str">
        <f>IFERROR(VLOOKUP(ROWS($T$3:T144),$R$3:$S$718,2,0),"")</f>
        <v>Chov mléčného skotu</v>
      </c>
      <c r="U144">
        <f>IF(ISNUMBER(SEARCH('1Př1'!$A$33,N144)),MAX($M$2:M143)+1,0)</f>
        <v>142</v>
      </c>
      <c r="V144" s="287" t="s">
        <v>1289</v>
      </c>
      <c r="W144" t="str">
        <f>IFERROR(VLOOKUP(ROWS($W$3:W144),$U$3:$V$718,2,0),"")</f>
        <v>Chov mléčného skotu</v>
      </c>
      <c r="X144">
        <f>IF(ISNUMBER(SEARCH('1Př1'!$A$34,N144)),MAX($M$2:M143)+1,0)</f>
        <v>142</v>
      </c>
      <c r="Y144" s="287" t="s">
        <v>1289</v>
      </c>
      <c r="Z144" t="str">
        <f>IFERROR(VLOOKUP(ROWS($Z$3:Z144),$X$3:$Y$718,2,0),"")</f>
        <v>Chov mléčného skotu</v>
      </c>
    </row>
    <row r="145" spans="1:26" ht="12.75" customHeight="1">
      <c r="A145" s="263"/>
      <c r="B145" s="263"/>
      <c r="C145" s="263"/>
      <c r="D145" s="279">
        <f>IF(ISNUMBER(SEARCH(ZAKL_DATA!$B$14,E145)),MAX($D$2:D144)+1,0)</f>
        <v>143</v>
      </c>
      <c r="E145" s="291" t="s">
        <v>1290</v>
      </c>
      <c r="F145" s="292">
        <v>3002</v>
      </c>
      <c r="G145" s="293"/>
      <c r="H145" s="294" t="str">
        <f>IFERROR(VLOOKUP(ROWS($H$3:H145),$D$3:$E$204,2,0),"")</f>
        <v>BRNO II</v>
      </c>
      <c r="I145" s="263"/>
      <c r="J145" s="296" t="s">
        <v>1291</v>
      </c>
      <c r="K145" s="285" t="s">
        <v>1292</v>
      </c>
      <c r="M145" s="286">
        <f>IF(ISNUMBER(SEARCH(ZAKL_DATA!$B$29,N145)),MAX($M$2:M144)+1,0)</f>
        <v>143</v>
      </c>
      <c r="N145" s="791" t="s">
        <v>2109</v>
      </c>
      <c r="O145" s="791" t="s">
        <v>3355</v>
      </c>
      <c r="Q145" s="288" t="str">
        <f>IFERROR(VLOOKUP(ROWS($Q$3:Q145),$M$3:$N$718,2,0),"")</f>
        <v>Maloobchod s oděvy</v>
      </c>
      <c r="R145">
        <f>IF(ISNUMBER(SEARCH('1Př1'!$A$32,N145)),MAX($M$2:M144)+1,0)</f>
        <v>143</v>
      </c>
      <c r="S145" s="287" t="s">
        <v>1293</v>
      </c>
      <c r="T145" t="str">
        <f>IFERROR(VLOOKUP(ROWS($T$3:T145),$R$3:$S$718,2,0),"")</f>
        <v>Výroba kožešinových výrobků</v>
      </c>
      <c r="U145">
        <f>IF(ISNUMBER(SEARCH('1Př1'!$A$33,N145)),MAX($M$2:M144)+1,0)</f>
        <v>143</v>
      </c>
      <c r="V145" s="287" t="s">
        <v>1293</v>
      </c>
      <c r="W145" t="str">
        <f>IFERROR(VLOOKUP(ROWS($W$3:W145),$U$3:$V$718,2,0),"")</f>
        <v>Výroba kožešinových výrobků</v>
      </c>
      <c r="X145">
        <f>IF(ISNUMBER(SEARCH('1Př1'!$A$34,N145)),MAX($M$2:M144)+1,0)</f>
        <v>143</v>
      </c>
      <c r="Y145" s="287" t="s">
        <v>1293</v>
      </c>
      <c r="Z145" t="str">
        <f>IFERROR(VLOOKUP(ROWS($Z$3:Z145),$X$3:$Y$718,2,0),"")</f>
        <v>Výroba kožešinových výrobků</v>
      </c>
    </row>
    <row r="146" spans="1:26" ht="12.75" customHeight="1">
      <c r="A146" s="263"/>
      <c r="B146" s="263"/>
      <c r="C146" s="263"/>
      <c r="D146" s="279">
        <f>IF(ISNUMBER(SEARCH(ZAKL_DATA!$B$14,E146)),MAX($D$2:D145)+1,0)</f>
        <v>144</v>
      </c>
      <c r="E146" s="291" t="s">
        <v>1294</v>
      </c>
      <c r="F146" s="292">
        <v>3003</v>
      </c>
      <c r="G146" s="293"/>
      <c r="H146" s="294" t="str">
        <f>IFERROR(VLOOKUP(ROWS($H$3:H146),$D$3:$E$204,2,0),"")</f>
        <v>BRNO III</v>
      </c>
      <c r="I146" s="263"/>
      <c r="J146" s="296" t="s">
        <v>1295</v>
      </c>
      <c r="K146" s="285" t="s">
        <v>1296</v>
      </c>
      <c r="M146" s="286">
        <f>IF(ISNUMBER(SEARCH(ZAKL_DATA!$B$29,N146)),MAX($M$2:M145)+1,0)</f>
        <v>144</v>
      </c>
      <c r="N146" s="791" t="s">
        <v>3356</v>
      </c>
      <c r="O146" s="791" t="s">
        <v>3357</v>
      </c>
      <c r="Q146" s="288" t="str">
        <f>IFERROR(VLOOKUP(ROWS($Q$3:Q146),$M$3:$N$718,2,0),"")</f>
        <v>Maloobchod s ostatním novým zbožím</v>
      </c>
      <c r="R146">
        <f>IF(ISNUMBER(SEARCH('1Př1'!$A$32,N146)),MAX($M$2:M145)+1,0)</f>
        <v>144</v>
      </c>
      <c r="S146" s="287" t="s">
        <v>1297</v>
      </c>
      <c r="T146" t="str">
        <f>IFERROR(VLOOKUP(ROWS($T$3:T146),$R$3:$S$718,2,0),"")</f>
        <v>Chov jiného skotu</v>
      </c>
      <c r="U146">
        <f>IF(ISNUMBER(SEARCH('1Př1'!$A$33,N146)),MAX($M$2:M145)+1,0)</f>
        <v>144</v>
      </c>
      <c r="V146" s="287" t="s">
        <v>1297</v>
      </c>
      <c r="W146" t="str">
        <f>IFERROR(VLOOKUP(ROWS($W$3:W146),$U$3:$V$718,2,0),"")</f>
        <v>Chov jiného skotu</v>
      </c>
      <c r="X146">
        <f>IF(ISNUMBER(SEARCH('1Př1'!$A$34,N146)),MAX($M$2:M145)+1,0)</f>
        <v>144</v>
      </c>
      <c r="Y146" s="287" t="s">
        <v>1297</v>
      </c>
      <c r="Z146" t="str">
        <f>IFERROR(VLOOKUP(ROWS($Z$3:Z146),$X$3:$Y$718,2,0),"")</f>
        <v>Chov jiného skotu</v>
      </c>
    </row>
    <row r="147" spans="1:26" ht="12.75" customHeight="1">
      <c r="A147" s="263"/>
      <c r="B147" s="263"/>
      <c r="C147" s="263"/>
      <c r="D147" s="279">
        <f>IF(ISNUMBER(SEARCH(ZAKL_DATA!$B$14,E147)),MAX($D$2:D146)+1,0)</f>
        <v>145</v>
      </c>
      <c r="E147" s="291" t="s">
        <v>1298</v>
      </c>
      <c r="F147" s="292">
        <v>3004</v>
      </c>
      <c r="G147" s="293"/>
      <c r="H147" s="294" t="str">
        <f>IFERROR(VLOOKUP(ROWS($H$3:H147),$D$3:$E$204,2,0),"")</f>
        <v>BRNO IV</v>
      </c>
      <c r="I147" s="263"/>
      <c r="J147" s="296" t="s">
        <v>1299</v>
      </c>
      <c r="K147" s="285" t="s">
        <v>1300</v>
      </c>
      <c r="M147" s="286">
        <f>IF(ISNUMBER(SEARCH(ZAKL_DATA!$B$29,N147)),MAX($M$2:M146)+1,0)</f>
        <v>145</v>
      </c>
      <c r="N147" s="791" t="s">
        <v>3358</v>
      </c>
      <c r="O147" s="791" t="s">
        <v>3359</v>
      </c>
      <c r="Q147" s="288" t="str">
        <f>IFERROR(VLOOKUP(ROWS($Q$3:Q147),$M$3:$N$718,2,0),"")</f>
        <v>Maloobchod s ostatním použitým zbožím</v>
      </c>
      <c r="R147">
        <f>IF(ISNUMBER(SEARCH('1Př1'!$A$32,N147)),MAX($M$2:M146)+1,0)</f>
        <v>145</v>
      </c>
      <c r="S147" s="287" t="s">
        <v>1301</v>
      </c>
      <c r="T147" t="str">
        <f>IFERROR(VLOOKUP(ROWS($T$3:T147),$R$3:$S$718,2,0),"")</f>
        <v>Výroba pletených a háčkovaných oděvů</v>
      </c>
      <c r="U147">
        <f>IF(ISNUMBER(SEARCH('1Př1'!$A$33,N147)),MAX($M$2:M146)+1,0)</f>
        <v>145</v>
      </c>
      <c r="V147" s="287" t="s">
        <v>1301</v>
      </c>
      <c r="W147" t="str">
        <f>IFERROR(VLOOKUP(ROWS($W$3:W147),$U$3:$V$718,2,0),"")</f>
        <v>Výroba pletených a háčkovaných oděvů</v>
      </c>
      <c r="X147">
        <f>IF(ISNUMBER(SEARCH('1Př1'!$A$34,N147)),MAX($M$2:M146)+1,0)</f>
        <v>145</v>
      </c>
      <c r="Y147" s="287" t="s">
        <v>1301</v>
      </c>
      <c r="Z147" t="str">
        <f>IFERROR(VLOOKUP(ROWS($Z$3:Z147),$X$3:$Y$718,2,0),"")</f>
        <v>Výroba pletených a háčkovaných oděvů</v>
      </c>
    </row>
    <row r="148" spans="1:26" ht="12.75" customHeight="1">
      <c r="A148" s="263"/>
      <c r="B148" s="263"/>
      <c r="C148" s="263"/>
      <c r="D148" s="279">
        <f>IF(ISNUMBER(SEARCH(ZAKL_DATA!$B$14,E148)),MAX($D$2:D147)+1,0)</f>
        <v>146</v>
      </c>
      <c r="E148" s="291" t="s">
        <v>1302</v>
      </c>
      <c r="F148" s="292">
        <v>3005</v>
      </c>
      <c r="G148" s="293"/>
      <c r="H148" s="294" t="str">
        <f>IFERROR(VLOOKUP(ROWS($H$3:H148),$D$3:$E$204,2,0),"")</f>
        <v>BRNO VENKOV</v>
      </c>
      <c r="I148" s="263"/>
      <c r="J148" s="296" t="s">
        <v>1303</v>
      </c>
      <c r="K148" s="285" t="s">
        <v>1304</v>
      </c>
      <c r="M148" s="286">
        <f>IF(ISNUMBER(SEARCH(ZAKL_DATA!$B$29,N148)),MAX($M$2:M147)+1,0)</f>
        <v>146</v>
      </c>
      <c r="N148" s="791" t="s">
        <v>2089</v>
      </c>
      <c r="O148" s="791" t="s">
        <v>3360</v>
      </c>
      <c r="Q148" s="288" t="str">
        <f>IFERROR(VLOOKUP(ROWS($Q$3:Q148),$M$3:$N$718,2,0),"")</f>
        <v>Maloobchod s ovocem a zeleninou</v>
      </c>
      <c r="R148">
        <f>IF(ISNUMBER(SEARCH('1Př1'!$A$32,N148)),MAX($M$2:M147)+1,0)</f>
        <v>146</v>
      </c>
      <c r="S148" s="287" t="s">
        <v>1305</v>
      </c>
      <c r="T148" t="str">
        <f>IFERROR(VLOOKUP(ROWS($T$3:T148),$R$3:$S$718,2,0),"")</f>
        <v>Chov koní a jiných koňovitých</v>
      </c>
      <c r="U148">
        <f>IF(ISNUMBER(SEARCH('1Př1'!$A$33,N148)),MAX($M$2:M147)+1,0)</f>
        <v>146</v>
      </c>
      <c r="V148" s="287" t="s">
        <v>1305</v>
      </c>
      <c r="W148" t="str">
        <f>IFERROR(VLOOKUP(ROWS($W$3:W148),$U$3:$V$718,2,0),"")</f>
        <v>Chov koní a jiných koňovitých</v>
      </c>
      <c r="X148">
        <f>IF(ISNUMBER(SEARCH('1Př1'!$A$34,N148)),MAX($M$2:M147)+1,0)</f>
        <v>146</v>
      </c>
      <c r="Y148" s="287" t="s">
        <v>1305</v>
      </c>
      <c r="Z148" t="str">
        <f>IFERROR(VLOOKUP(ROWS($Z$3:Z148),$X$3:$Y$718,2,0),"")</f>
        <v>Chov koní a jiných koňovitých</v>
      </c>
    </row>
    <row r="149" spans="1:26" ht="12.75" customHeight="1">
      <c r="A149" s="263"/>
      <c r="B149" s="263"/>
      <c r="C149" s="263"/>
      <c r="D149" s="279">
        <f>IF(ISNUMBER(SEARCH(ZAKL_DATA!$B$14,E149)),MAX($D$2:D148)+1,0)</f>
        <v>147</v>
      </c>
      <c r="E149" s="291" t="s">
        <v>1306</v>
      </c>
      <c r="F149" s="292">
        <v>3006</v>
      </c>
      <c r="G149" s="293"/>
      <c r="H149" s="294" t="str">
        <f>IFERROR(VLOOKUP(ROWS($H$3:H149),$D$3:$E$204,2,0),"")</f>
        <v>BLANSKO</v>
      </c>
      <c r="I149" s="263"/>
      <c r="J149" s="296" t="s">
        <v>1307</v>
      </c>
      <c r="K149" s="285" t="s">
        <v>1308</v>
      </c>
      <c r="M149" s="286">
        <f>IF(ISNUMBER(SEARCH(ZAKL_DATA!$B$29,N149)),MAX($M$2:M148)+1,0)</f>
        <v>147</v>
      </c>
      <c r="N149" s="791" t="s">
        <v>3361</v>
      </c>
      <c r="O149" s="791" t="s">
        <v>3362</v>
      </c>
      <c r="Q149" s="288" t="str">
        <f>IFERROR(VLOOKUP(ROWS($Q$3:Q149),$M$3:$N$718,2,0),"")</f>
        <v>Maloobchod s papírnickým zbožím</v>
      </c>
      <c r="R149">
        <f>IF(ISNUMBER(SEARCH('1Př1'!$A$32,N149)),MAX($M$2:M148)+1,0)</f>
        <v>147</v>
      </c>
      <c r="S149" s="287" t="s">
        <v>1309</v>
      </c>
      <c r="T149" t="str">
        <f>IFERROR(VLOOKUP(ROWS($T$3:T149),$R$3:$S$718,2,0),"")</f>
        <v>Chov velbloudů a velbloudovitých</v>
      </c>
      <c r="U149">
        <f>IF(ISNUMBER(SEARCH('1Př1'!$A$33,N149)),MAX($M$2:M148)+1,0)</f>
        <v>147</v>
      </c>
      <c r="V149" s="287" t="s">
        <v>1309</v>
      </c>
      <c r="W149" t="str">
        <f>IFERROR(VLOOKUP(ROWS($W$3:W149),$U$3:$V$718,2,0),"")</f>
        <v>Chov velbloudů a velbloudovitých</v>
      </c>
      <c r="X149">
        <f>IF(ISNUMBER(SEARCH('1Př1'!$A$34,N149)),MAX($M$2:M148)+1,0)</f>
        <v>147</v>
      </c>
      <c r="Y149" s="287" t="s">
        <v>1309</v>
      </c>
      <c r="Z149" t="str">
        <f>IFERROR(VLOOKUP(ROWS($Z$3:Z149),$X$3:$Y$718,2,0),"")</f>
        <v>Chov velbloudů a velbloudovitých</v>
      </c>
    </row>
    <row r="150" spans="1:26" ht="12.75" customHeight="1">
      <c r="A150" s="263"/>
      <c r="B150" s="263"/>
      <c r="C150" s="263"/>
      <c r="D150" s="279">
        <f>IF(ISNUMBER(SEARCH(ZAKL_DATA!$B$14,E150)),MAX($D$2:D149)+1,0)</f>
        <v>148</v>
      </c>
      <c r="E150" s="291" t="s">
        <v>1310</v>
      </c>
      <c r="F150" s="292">
        <v>3007</v>
      </c>
      <c r="G150" s="293"/>
      <c r="H150" s="294" t="str">
        <f>IFERROR(VLOOKUP(ROWS($H$3:H150),$D$3:$E$204,2,0),"")</f>
        <v>BOSKOVICE</v>
      </c>
      <c r="I150" s="263"/>
      <c r="J150" s="296" t="s">
        <v>1311</v>
      </c>
      <c r="K150" s="285" t="s">
        <v>1312</v>
      </c>
      <c r="M150" s="286">
        <f>IF(ISNUMBER(SEARCH(ZAKL_DATA!$B$29,N150)),MAX($M$2:M149)+1,0)</f>
        <v>148</v>
      </c>
      <c r="N150" s="791" t="s">
        <v>3363</v>
      </c>
      <c r="O150" s="791" t="s">
        <v>3364</v>
      </c>
      <c r="Q150" s="288" t="str">
        <f>IFERROR(VLOOKUP(ROWS($Q$3:Q150),$M$3:$N$718,2,0),"")</f>
        <v>Maloobchod s pekařskými a cukrářskými výrobky a cukrovinkami</v>
      </c>
      <c r="R150">
        <f>IF(ISNUMBER(SEARCH('1Př1'!$A$32,N150)),MAX($M$2:M149)+1,0)</f>
        <v>148</v>
      </c>
      <c r="S150" s="287" t="s">
        <v>1313</v>
      </c>
      <c r="T150" t="str">
        <f>IFERROR(VLOOKUP(ROWS($T$3:T150),$R$3:$S$718,2,0),"")</f>
        <v>Chov ovcí a koz</v>
      </c>
      <c r="U150">
        <f>IF(ISNUMBER(SEARCH('1Př1'!$A$33,N150)),MAX($M$2:M149)+1,0)</f>
        <v>148</v>
      </c>
      <c r="V150" s="287" t="s">
        <v>1313</v>
      </c>
      <c r="W150" t="str">
        <f>IFERROR(VLOOKUP(ROWS($W$3:W150),$U$3:$V$718,2,0),"")</f>
        <v>Chov ovcí a koz</v>
      </c>
      <c r="X150">
        <f>IF(ISNUMBER(SEARCH('1Př1'!$A$34,N150)),MAX($M$2:M149)+1,0)</f>
        <v>148</v>
      </c>
      <c r="Y150" s="287" t="s">
        <v>1313</v>
      </c>
      <c r="Z150" t="str">
        <f>IFERROR(VLOOKUP(ROWS($Z$3:Z150),$X$3:$Y$718,2,0),"")</f>
        <v>Chov ovcí a koz</v>
      </c>
    </row>
    <row r="151" spans="1:26" ht="12.75" customHeight="1">
      <c r="A151" s="263"/>
      <c r="B151" s="263"/>
      <c r="C151" s="263"/>
      <c r="D151" s="279">
        <f>IF(ISNUMBER(SEARCH(ZAKL_DATA!$B$14,E151)),MAX($D$2:D150)+1,0)</f>
        <v>149</v>
      </c>
      <c r="E151" s="291" t="s">
        <v>1314</v>
      </c>
      <c r="F151" s="292">
        <v>3008</v>
      </c>
      <c r="G151" s="293"/>
      <c r="H151" s="294" t="str">
        <f>IFERROR(VLOOKUP(ROWS($H$3:H151),$D$3:$E$204,2,0),"")</f>
        <v>BŘECLAV</v>
      </c>
      <c r="I151" s="263"/>
      <c r="J151" s="296" t="s">
        <v>1315</v>
      </c>
      <c r="K151" s="285" t="s">
        <v>1316</v>
      </c>
      <c r="M151" s="286">
        <f>IF(ISNUMBER(SEARCH(ZAKL_DATA!$B$29,N151)),MAX($M$2:M150)+1,0)</f>
        <v>149</v>
      </c>
      <c r="N151" s="791" t="s">
        <v>3365</v>
      </c>
      <c r="O151" s="791" t="s">
        <v>3366</v>
      </c>
      <c r="Q151" s="288" t="str">
        <f>IFERROR(VLOOKUP(ROWS($Q$3:Q151),$M$3:$N$718,2,0),"")</f>
        <v>Maloobchod s počítačovým a komunikačním zařízením</v>
      </c>
      <c r="R151">
        <f>IF(ISNUMBER(SEARCH('1Př1'!$A$32,N151)),MAX($M$2:M150)+1,0)</f>
        <v>149</v>
      </c>
      <c r="S151" s="287" t="s">
        <v>1317</v>
      </c>
      <c r="T151" t="str">
        <f>IFERROR(VLOOKUP(ROWS($T$3:T151),$R$3:$S$718,2,0),"")</f>
        <v>Chov prasat</v>
      </c>
      <c r="U151">
        <f>IF(ISNUMBER(SEARCH('1Př1'!$A$33,N151)),MAX($M$2:M150)+1,0)</f>
        <v>149</v>
      </c>
      <c r="V151" s="287" t="s">
        <v>1317</v>
      </c>
      <c r="W151" t="str">
        <f>IFERROR(VLOOKUP(ROWS($W$3:W151),$U$3:$V$718,2,0),"")</f>
        <v>Chov prasat</v>
      </c>
      <c r="X151">
        <f>IF(ISNUMBER(SEARCH('1Př1'!$A$34,N151)),MAX($M$2:M150)+1,0)</f>
        <v>149</v>
      </c>
      <c r="Y151" s="287" t="s">
        <v>1317</v>
      </c>
      <c r="Z151" t="str">
        <f>IFERROR(VLOOKUP(ROWS($Z$3:Z151),$X$3:$Y$718,2,0),"")</f>
        <v>Chov prasat</v>
      </c>
    </row>
    <row r="152" spans="1:26" ht="12.75" customHeight="1">
      <c r="A152" s="263"/>
      <c r="B152" s="263"/>
      <c r="C152" s="263"/>
      <c r="D152" s="279">
        <f>IF(ISNUMBER(SEARCH(ZAKL_DATA!$B$14,E152)),MAX($D$2:D151)+1,0)</f>
        <v>150</v>
      </c>
      <c r="E152" s="291" t="s">
        <v>1318</v>
      </c>
      <c r="F152" s="292">
        <v>3009</v>
      </c>
      <c r="G152" s="293"/>
      <c r="H152" s="294" t="str">
        <f>IFERROR(VLOOKUP(ROWS($H$3:H152),$D$3:$E$204,2,0),"")</f>
        <v>BUČOVICE</v>
      </c>
      <c r="I152" s="263"/>
      <c r="J152" s="296" t="s">
        <v>1319</v>
      </c>
      <c r="K152" s="285" t="s">
        <v>1320</v>
      </c>
      <c r="M152" s="286">
        <f>IF(ISNUMBER(SEARCH(ZAKL_DATA!$B$29,N152)),MAX($M$2:M151)+1,0)</f>
        <v>150</v>
      </c>
      <c r="N152" s="791" t="s">
        <v>3367</v>
      </c>
      <c r="O152" s="791" t="s">
        <v>3368</v>
      </c>
      <c r="Q152" s="288" t="str">
        <f>IFERROR(VLOOKUP(ROWS($Q$3:Q152),$M$3:$N$718,2,0),"")</f>
        <v>Maloobchod s pohonnými hmotami</v>
      </c>
      <c r="R152">
        <f>IF(ISNUMBER(SEARCH('1Př1'!$A$32,N152)),MAX($M$2:M151)+1,0)</f>
        <v>150</v>
      </c>
      <c r="S152" s="287" t="s">
        <v>1321</v>
      </c>
      <c r="T152" t="str">
        <f>IFERROR(VLOOKUP(ROWS($T$3:T152),$R$3:$S$718,2,0),"")</f>
        <v>Chov drůbeže</v>
      </c>
      <c r="U152">
        <f>IF(ISNUMBER(SEARCH('1Př1'!$A$33,N152)),MAX($M$2:M151)+1,0)</f>
        <v>150</v>
      </c>
      <c r="V152" s="287" t="s">
        <v>1321</v>
      </c>
      <c r="W152" t="str">
        <f>IFERROR(VLOOKUP(ROWS($W$3:W152),$U$3:$V$718,2,0),"")</f>
        <v>Chov drůbeže</v>
      </c>
      <c r="X152">
        <f>IF(ISNUMBER(SEARCH('1Př1'!$A$34,N152)),MAX($M$2:M151)+1,0)</f>
        <v>150</v>
      </c>
      <c r="Y152" s="287" t="s">
        <v>1321</v>
      </c>
      <c r="Z152" t="str">
        <f>IFERROR(VLOOKUP(ROWS($Z$3:Z152),$X$3:$Y$718,2,0),"")</f>
        <v>Chov drůbeže</v>
      </c>
    </row>
    <row r="153" spans="1:26" ht="12.75" customHeight="1">
      <c r="A153" s="263"/>
      <c r="B153" s="263"/>
      <c r="C153" s="263"/>
      <c r="D153" s="279">
        <f>IF(ISNUMBER(SEARCH(ZAKL_DATA!$B$14,E153)),MAX($D$2:D152)+1,0)</f>
        <v>151</v>
      </c>
      <c r="E153" s="291" t="s">
        <v>1322</v>
      </c>
      <c r="F153" s="292">
        <v>3010</v>
      </c>
      <c r="G153" s="293"/>
      <c r="H153" s="294" t="str">
        <f>IFERROR(VLOOKUP(ROWS($H$3:H153),$D$3:$E$204,2,0),"")</f>
        <v>HODONÍN</v>
      </c>
      <c r="I153" s="263"/>
      <c r="J153" s="296" t="s">
        <v>1323</v>
      </c>
      <c r="K153" s="285" t="s">
        <v>1324</v>
      </c>
      <c r="M153" s="286">
        <f>IF(ISNUMBER(SEARCH(ZAKL_DATA!$B$29,N153)),MAX($M$2:M152)+1,0)</f>
        <v>151</v>
      </c>
      <c r="N153" s="791" t="s">
        <v>3369</v>
      </c>
      <c r="O153" s="791" t="s">
        <v>3370</v>
      </c>
      <c r="Q153" s="288" t="str">
        <f>IFERROR(VLOOKUP(ROWS($Q$3:Q153),$M$3:$N$718,2,0),"")</f>
        <v>Maloobchod s použitými knihami a starožitnostmi</v>
      </c>
      <c r="R153">
        <f>IF(ISNUMBER(SEARCH('1Př1'!$A$32,N153)),MAX($M$2:M152)+1,0)</f>
        <v>151</v>
      </c>
      <c r="S153" s="287" t="s">
        <v>1325</v>
      </c>
      <c r="T153" t="str">
        <f>IFERROR(VLOOKUP(ROWS($T$3:T153),$R$3:$S$718,2,0),"")</f>
        <v>Chov ostatních zvířat</v>
      </c>
      <c r="U153">
        <f>IF(ISNUMBER(SEARCH('1Př1'!$A$33,N153)),MAX($M$2:M152)+1,0)</f>
        <v>151</v>
      </c>
      <c r="V153" s="287" t="s">
        <v>1325</v>
      </c>
      <c r="W153" t="str">
        <f>IFERROR(VLOOKUP(ROWS($W$3:W153),$U$3:$V$718,2,0),"")</f>
        <v>Chov ostatních zvířat</v>
      </c>
      <c r="X153">
        <f>IF(ISNUMBER(SEARCH('1Př1'!$A$34,N153)),MAX($M$2:M152)+1,0)</f>
        <v>151</v>
      </c>
      <c r="Y153" s="287" t="s">
        <v>1325</v>
      </c>
      <c r="Z153" t="str">
        <f>IFERROR(VLOOKUP(ROWS($Z$3:Z153),$X$3:$Y$718,2,0),"")</f>
        <v>Chov ostatních zvířat</v>
      </c>
    </row>
    <row r="154" spans="1:26" ht="12.75" customHeight="1">
      <c r="A154" s="263"/>
      <c r="B154" s="263"/>
      <c r="C154" s="263"/>
      <c r="D154" s="279">
        <f>IF(ISNUMBER(SEARCH(ZAKL_DATA!$B$14,E154)),MAX($D$2:D153)+1,0)</f>
        <v>152</v>
      </c>
      <c r="E154" s="291" t="s">
        <v>1326</v>
      </c>
      <c r="F154" s="292">
        <v>3011</v>
      </c>
      <c r="G154" s="293"/>
      <c r="H154" s="294" t="str">
        <f>IFERROR(VLOOKUP(ROWS($H$3:H154),$D$3:$E$204,2,0),"")</f>
        <v>HUSTOPEČE</v>
      </c>
      <c r="I154" s="263"/>
      <c r="J154" s="296" t="s">
        <v>1327</v>
      </c>
      <c r="K154" s="285" t="s">
        <v>1328</v>
      </c>
      <c r="M154" s="286">
        <f>IF(ISNUMBER(SEARCH(ZAKL_DATA!$B$29,N154)),MAX($M$2:M153)+1,0)</f>
        <v>152</v>
      </c>
      <c r="N154" s="791" t="s">
        <v>2091</v>
      </c>
      <c r="O154" s="791" t="s">
        <v>3371</v>
      </c>
      <c r="Q154" s="288" t="str">
        <f>IFERROR(VLOOKUP(ROWS($Q$3:Q154),$M$3:$N$718,2,0),"")</f>
        <v>Maloobchod s rybami, korýši a měkkýši</v>
      </c>
      <c r="R154">
        <f>IF(ISNUMBER(SEARCH('1Př1'!$A$32,N154)),MAX($M$2:M153)+1,0)</f>
        <v>152</v>
      </c>
      <c r="S154" s="287" t="s">
        <v>1329</v>
      </c>
      <c r="T154" t="str">
        <f>IFERROR(VLOOKUP(ROWS($T$3:T154),$R$3:$S$718,2,0),"")</f>
        <v>Činění a úprava usní (vyčiněných kůží); zpracování a barvení kožešin; výrob</v>
      </c>
      <c r="U154">
        <f>IF(ISNUMBER(SEARCH('1Př1'!$A$33,N154)),MAX($M$2:M153)+1,0)</f>
        <v>152</v>
      </c>
      <c r="V154" s="287" t="s">
        <v>1329</v>
      </c>
      <c r="W154" t="str">
        <f>IFERROR(VLOOKUP(ROWS($W$3:W154),$U$3:$V$718,2,0),"")</f>
        <v>Činění a úprava usní (vyčiněných kůží); zpracování a barvení kožešin; výrob</v>
      </c>
      <c r="X154">
        <f>IF(ISNUMBER(SEARCH('1Př1'!$A$34,N154)),MAX($M$2:M153)+1,0)</f>
        <v>152</v>
      </c>
      <c r="Y154" s="287" t="s">
        <v>1329</v>
      </c>
      <c r="Z154" t="str">
        <f>IFERROR(VLOOKUP(ROWS($Z$3:Z154),$X$3:$Y$718,2,0),"")</f>
        <v>Činění a úprava usní (vyčiněných kůží); zpracování a barvení kožešin; výrob</v>
      </c>
    </row>
    <row r="155" spans="1:26" ht="12.75" customHeight="1">
      <c r="A155" s="263"/>
      <c r="B155" s="263"/>
      <c r="C155" s="263"/>
      <c r="D155" s="279">
        <f>IF(ISNUMBER(SEARCH(ZAKL_DATA!$B$14,E155)),MAX($D$2:D154)+1,0)</f>
        <v>153</v>
      </c>
      <c r="E155" s="291" t="s">
        <v>1330</v>
      </c>
      <c r="F155" s="292">
        <v>3012</v>
      </c>
      <c r="G155" s="293"/>
      <c r="H155" s="294" t="str">
        <f>IFERROR(VLOOKUP(ROWS($H$3:H155),$D$3:$E$204,2,0),"")</f>
        <v>IVANČICE</v>
      </c>
      <c r="I155" s="263"/>
      <c r="J155" s="296" t="s">
        <v>1331</v>
      </c>
      <c r="K155" s="285" t="s">
        <v>1332</v>
      </c>
      <c r="M155" s="286">
        <f>IF(ISNUMBER(SEARCH(ZAKL_DATA!$B$29,N155)),MAX($M$2:M154)+1,0)</f>
        <v>153</v>
      </c>
      <c r="N155" s="791" t="s">
        <v>2094</v>
      </c>
      <c r="O155" s="791" t="s">
        <v>3372</v>
      </c>
      <c r="Q155" s="288" t="str">
        <f>IFERROR(VLOOKUP(ROWS($Q$3:Q155),$M$3:$N$718,2,0),"")</f>
        <v>Maloobchod s tabákovými výrobky</v>
      </c>
      <c r="R155">
        <f>IF(ISNUMBER(SEARCH('1Př1'!$A$32,N155)),MAX($M$2:M154)+1,0)</f>
        <v>153</v>
      </c>
      <c r="S155" s="287" t="s">
        <v>1333</v>
      </c>
      <c r="T155" t="str">
        <f>IFERROR(VLOOKUP(ROWS($T$3:T155),$R$3:$S$718,2,0),"")</f>
        <v>Výroba obuvi</v>
      </c>
      <c r="U155">
        <f>IF(ISNUMBER(SEARCH('1Př1'!$A$33,N155)),MAX($M$2:M154)+1,0)</f>
        <v>153</v>
      </c>
      <c r="V155" s="287" t="s">
        <v>1333</v>
      </c>
      <c r="W155" t="str">
        <f>IFERROR(VLOOKUP(ROWS($W$3:W155),$U$3:$V$718,2,0),"")</f>
        <v>Výroba obuvi</v>
      </c>
      <c r="X155">
        <f>IF(ISNUMBER(SEARCH('1Př1'!$A$34,N155)),MAX($M$2:M154)+1,0)</f>
        <v>153</v>
      </c>
      <c r="Y155" s="287" t="s">
        <v>1333</v>
      </c>
      <c r="Z155" t="str">
        <f>IFERROR(VLOOKUP(ROWS($Z$3:Z155),$X$3:$Y$718,2,0),"")</f>
        <v>Výroba obuvi</v>
      </c>
    </row>
    <row r="156" spans="1:26" ht="12.75" customHeight="1">
      <c r="A156" s="263"/>
      <c r="B156" s="263"/>
      <c r="C156" s="263"/>
      <c r="D156" s="279">
        <f>IF(ISNUMBER(SEARCH(ZAKL_DATA!$B$14,E156)),MAX($D$2:D155)+1,0)</f>
        <v>154</v>
      </c>
      <c r="E156" s="291" t="s">
        <v>1334</v>
      </c>
      <c r="F156" s="292">
        <v>3013</v>
      </c>
      <c r="G156" s="293"/>
      <c r="H156" s="294" t="str">
        <f>IFERROR(VLOOKUP(ROWS($H$3:H156),$D$3:$E$204,2,0),"")</f>
        <v>KYJOV</v>
      </c>
      <c r="I156" s="263"/>
      <c r="J156" s="296" t="s">
        <v>1335</v>
      </c>
      <c r="K156" s="285" t="s">
        <v>1336</v>
      </c>
      <c r="M156" s="286">
        <f>IF(ISNUMBER(SEARCH(ZAKL_DATA!$B$29,N156)),MAX($M$2:M155)+1,0)</f>
        <v>154</v>
      </c>
      <c r="N156" s="791" t="s">
        <v>2099</v>
      </c>
      <c r="O156" s="791" t="s">
        <v>3373</v>
      </c>
      <c r="Q156" s="288" t="str">
        <f>IFERROR(VLOOKUP(ROWS($Q$3:Q156),$M$3:$N$718,2,0),"")</f>
        <v>Maloobchod s textilem</v>
      </c>
      <c r="R156">
        <f>IF(ISNUMBER(SEARCH('1Př1'!$A$32,N156)),MAX($M$2:M155)+1,0)</f>
        <v>154</v>
      </c>
      <c r="S156" s="287" t="s">
        <v>1337</v>
      </c>
      <c r="T156" t="str">
        <f>IFERROR(VLOOKUP(ROWS($T$3:T156),$R$3:$S$718,2,0),"")</f>
        <v>Výroba pilařská a impregnace dřeva</v>
      </c>
      <c r="U156">
        <f>IF(ISNUMBER(SEARCH('1Př1'!$A$33,N156)),MAX($M$2:M155)+1,0)</f>
        <v>154</v>
      </c>
      <c r="V156" s="287" t="s">
        <v>1337</v>
      </c>
      <c r="W156" t="str">
        <f>IFERROR(VLOOKUP(ROWS($W$3:W156),$U$3:$V$718,2,0),"")</f>
        <v>Výroba pilařská a impregnace dřeva</v>
      </c>
      <c r="X156">
        <f>IF(ISNUMBER(SEARCH('1Př1'!$A$34,N156)),MAX($M$2:M155)+1,0)</f>
        <v>154</v>
      </c>
      <c r="Y156" s="287" t="s">
        <v>1337</v>
      </c>
      <c r="Z156" t="str">
        <f>IFERROR(VLOOKUP(ROWS($Z$3:Z156),$X$3:$Y$718,2,0),"")</f>
        <v>Výroba pilařská a impregnace dřeva</v>
      </c>
    </row>
    <row r="157" spans="1:26" ht="12.75" customHeight="1">
      <c r="A157" s="263"/>
      <c r="B157" s="263"/>
      <c r="C157" s="263"/>
      <c r="D157" s="279">
        <f>IF(ISNUMBER(SEARCH(ZAKL_DATA!$B$14,E157)),MAX($D$2:D156)+1,0)</f>
        <v>155</v>
      </c>
      <c r="E157" s="291" t="s">
        <v>1338</v>
      </c>
      <c r="F157" s="292">
        <v>3014</v>
      </c>
      <c r="G157" s="293"/>
      <c r="H157" s="294" t="str">
        <f>IFERROR(VLOOKUP(ROWS($H$3:H157),$D$3:$E$204,2,0),"")</f>
        <v>MIKULOV</v>
      </c>
      <c r="I157" s="263"/>
      <c r="J157" s="296" t="s">
        <v>1339</v>
      </c>
      <c r="K157" s="285" t="s">
        <v>1340</v>
      </c>
      <c r="M157" s="286">
        <f>IF(ISNUMBER(SEARCH(ZAKL_DATA!$B$29,N157)),MAX($M$2:M156)+1,0)</f>
        <v>155</v>
      </c>
      <c r="N157" s="791" t="s">
        <v>3374</v>
      </c>
      <c r="O157" s="791" t="s">
        <v>3375</v>
      </c>
      <c r="Q157" s="288" t="str">
        <f>IFERROR(VLOOKUP(ROWS($Q$3:Q157),$M$3:$N$718,2,0),"")</f>
        <v>Maloobchod s výrobky pro kulturní rozhled a rekreaci j. n.</v>
      </c>
      <c r="R157">
        <f>IF(ISNUMBER(SEARCH('1Př1'!$A$32,N157)),MAX($M$2:M156)+1,0)</f>
        <v>155</v>
      </c>
      <c r="S157" s="287" t="s">
        <v>1341</v>
      </c>
      <c r="T157" t="str">
        <f>IFERROR(VLOOKUP(ROWS($T$3:T157),$R$3:$S$718,2,0),"")</f>
        <v>Podpůrné činnosti pro rostlinnou výrobu</v>
      </c>
      <c r="U157">
        <f>IF(ISNUMBER(SEARCH('1Př1'!$A$33,N157)),MAX($M$2:M156)+1,0)</f>
        <v>155</v>
      </c>
      <c r="V157" s="287" t="s">
        <v>1341</v>
      </c>
      <c r="W157" t="str">
        <f>IFERROR(VLOOKUP(ROWS($W$3:W157),$U$3:$V$718,2,0),"")</f>
        <v>Podpůrné činnosti pro rostlinnou výrobu</v>
      </c>
      <c r="X157">
        <f>IF(ISNUMBER(SEARCH('1Př1'!$A$34,N157)),MAX($M$2:M156)+1,0)</f>
        <v>155</v>
      </c>
      <c r="Y157" s="287" t="s">
        <v>1341</v>
      </c>
      <c r="Z157" t="str">
        <f>IFERROR(VLOOKUP(ROWS($Z$3:Z157),$X$3:$Y$718,2,0),"")</f>
        <v>Podpůrné činnosti pro rostlinnou výrobu</v>
      </c>
    </row>
    <row r="158" spans="1:26" ht="12.75" customHeight="1">
      <c r="A158" s="263"/>
      <c r="B158" s="263"/>
      <c r="C158" s="263"/>
      <c r="D158" s="279">
        <f>IF(ISNUMBER(SEARCH(ZAKL_DATA!$B$14,E158)),MAX($D$2:D157)+1,0)</f>
        <v>156</v>
      </c>
      <c r="E158" s="291" t="s">
        <v>1342</v>
      </c>
      <c r="F158" s="292">
        <v>3015</v>
      </c>
      <c r="G158" s="293"/>
      <c r="H158" s="294" t="str">
        <f>IFERROR(VLOOKUP(ROWS($H$3:H158),$D$3:$E$204,2,0),"")</f>
        <v>MORAVSKÝ KRUMLOV</v>
      </c>
      <c r="I158" s="263"/>
      <c r="J158" s="296" t="s">
        <v>1343</v>
      </c>
      <c r="K158" s="285" t="s">
        <v>1344</v>
      </c>
      <c r="M158" s="286">
        <f>IF(ISNUMBER(SEARCH(ZAKL_DATA!$B$29,N158)),MAX($M$2:M157)+1,0)</f>
        <v>156</v>
      </c>
      <c r="N158" s="791" t="s">
        <v>3376</v>
      </c>
      <c r="O158" s="791" t="s">
        <v>3377</v>
      </c>
      <c r="Q158" s="288" t="str">
        <f>IFERROR(VLOOKUP(ROWS($Q$3:Q158),$M$3:$N$718,2,0),"")</f>
        <v>Maloobchod s železářským zbožím, stavebními materiály, barvami a sklem</v>
      </c>
      <c r="R158">
        <f>IF(ISNUMBER(SEARCH('1Př1'!$A$32,N158)),MAX($M$2:M157)+1,0)</f>
        <v>156</v>
      </c>
      <c r="S158" s="287" t="s">
        <v>1345</v>
      </c>
      <c r="T158" t="str">
        <f>IFERROR(VLOOKUP(ROWS($T$3:T158),$R$3:$S$718,2,0),"")</f>
        <v>Výroba dřevěných,korkových,proutěných a slaměných výrobků,kromě nábytku</v>
      </c>
      <c r="U158">
        <f>IF(ISNUMBER(SEARCH('1Př1'!$A$33,N158)),MAX($M$2:M157)+1,0)</f>
        <v>156</v>
      </c>
      <c r="V158" s="287" t="s">
        <v>1345</v>
      </c>
      <c r="W158" t="str">
        <f>IFERROR(VLOOKUP(ROWS($W$3:W158),$U$3:$V$718,2,0),"")</f>
        <v>Výroba dřevěných,korkových,proutěných a slaměných výrobků,kromě nábytku</v>
      </c>
      <c r="X158">
        <f>IF(ISNUMBER(SEARCH('1Př1'!$A$34,N158)),MAX($M$2:M157)+1,0)</f>
        <v>156</v>
      </c>
      <c r="Y158" s="287" t="s">
        <v>1345</v>
      </c>
      <c r="Z158" t="str">
        <f>IFERROR(VLOOKUP(ROWS($Z$3:Z158),$X$3:$Y$718,2,0),"")</f>
        <v>Výroba dřevěných,korkových,proutěných a slaměných výrobků,kromě nábytku</v>
      </c>
    </row>
    <row r="159" spans="1:26" ht="12.75" customHeight="1">
      <c r="A159" s="263"/>
      <c r="B159" s="263"/>
      <c r="C159" s="263"/>
      <c r="D159" s="279">
        <f>IF(ISNUMBER(SEARCH(ZAKL_DATA!$B$14,E159)),MAX($D$2:D158)+1,0)</f>
        <v>157</v>
      </c>
      <c r="E159" s="291" t="s">
        <v>1346</v>
      </c>
      <c r="F159" s="292">
        <v>3016</v>
      </c>
      <c r="G159" s="293"/>
      <c r="H159" s="294" t="str">
        <f>IFERROR(VLOOKUP(ROWS($H$3:H159),$D$3:$E$204,2,0),"")</f>
        <v>SLAVKOV U BRNA</v>
      </c>
      <c r="I159" s="263"/>
      <c r="J159" s="296" t="s">
        <v>1347</v>
      </c>
      <c r="K159" s="285" t="s">
        <v>1348</v>
      </c>
      <c r="M159" s="286">
        <f>IF(ISNUMBER(SEARCH(ZAKL_DATA!$B$29,N159)),MAX($M$2:M158)+1,0)</f>
        <v>157</v>
      </c>
      <c r="N159" s="791" t="s">
        <v>2107</v>
      </c>
      <c r="O159" s="791" t="s">
        <v>3378</v>
      </c>
      <c r="Q159" s="288" t="str">
        <f>IFERROR(VLOOKUP(ROWS($Q$3:Q159),$M$3:$N$718,2,0),"")</f>
        <v>Maloobchod se sportovním vybavením</v>
      </c>
      <c r="R159">
        <f>IF(ISNUMBER(SEARCH('1Př1'!$A$32,N159)),MAX($M$2:M158)+1,0)</f>
        <v>157</v>
      </c>
      <c r="S159" s="287" t="s">
        <v>1349</v>
      </c>
      <c r="T159" t="str">
        <f>IFERROR(VLOOKUP(ROWS($T$3:T159),$R$3:$S$718,2,0),"")</f>
        <v>Podpůrné činnosti pro živočišnou výrobu</v>
      </c>
      <c r="U159">
        <f>IF(ISNUMBER(SEARCH('1Př1'!$A$33,N159)),MAX($M$2:M158)+1,0)</f>
        <v>157</v>
      </c>
      <c r="V159" s="287" t="s">
        <v>1349</v>
      </c>
      <c r="W159" t="str">
        <f>IFERROR(VLOOKUP(ROWS($W$3:W159),$U$3:$V$718,2,0),"")</f>
        <v>Podpůrné činnosti pro živočišnou výrobu</v>
      </c>
      <c r="X159">
        <f>IF(ISNUMBER(SEARCH('1Př1'!$A$34,N159)),MAX($M$2:M158)+1,0)</f>
        <v>157</v>
      </c>
      <c r="Y159" s="287" t="s">
        <v>1349</v>
      </c>
      <c r="Z159" t="str">
        <f>IFERROR(VLOOKUP(ROWS($Z$3:Z159),$X$3:$Y$718,2,0),"")</f>
        <v>Podpůrné činnosti pro živočišnou výrobu</v>
      </c>
    </row>
    <row r="160" spans="1:26" ht="12.75" customHeight="1">
      <c r="A160" s="263"/>
      <c r="B160" s="263"/>
      <c r="C160" s="263"/>
      <c r="D160" s="279">
        <f>IF(ISNUMBER(SEARCH(ZAKL_DATA!$B$14,E160)),MAX($D$2:D159)+1,0)</f>
        <v>158</v>
      </c>
      <c r="E160" s="291" t="s">
        <v>1350</v>
      </c>
      <c r="F160" s="292">
        <v>3017</v>
      </c>
      <c r="G160" s="293"/>
      <c r="H160" s="294" t="str">
        <f>IFERROR(VLOOKUP(ROWS($H$3:H160),$D$3:$E$204,2,0),"")</f>
        <v>TIŠNOV</v>
      </c>
      <c r="I160" s="263"/>
      <c r="J160" s="296" t="s">
        <v>1351</v>
      </c>
      <c r="K160" s="285" t="s">
        <v>1352</v>
      </c>
      <c r="M160" s="286">
        <f>IF(ISNUMBER(SEARCH(ZAKL_DATA!$B$29,N160)),MAX($M$2:M159)+1,0)</f>
        <v>158</v>
      </c>
      <c r="N160" s="791" t="s">
        <v>2112</v>
      </c>
      <c r="O160" s="791" t="s">
        <v>3379</v>
      </c>
      <c r="Q160" s="288" t="str">
        <f>IFERROR(VLOOKUP(ROWS($Q$3:Q160),$M$3:$N$718,2,0),"")</f>
        <v>Maloobchod se zdravotnickými a ortopedickými výrobky</v>
      </c>
      <c r="R160">
        <f>IF(ISNUMBER(SEARCH('1Př1'!$A$32,N160)),MAX($M$2:M159)+1,0)</f>
        <v>158</v>
      </c>
      <c r="S160" s="287" t="s">
        <v>1353</v>
      </c>
      <c r="T160" t="str">
        <f>IFERROR(VLOOKUP(ROWS($T$3:T160),$R$3:$S$718,2,0),"")</f>
        <v>Posklizňové činnosti</v>
      </c>
      <c r="U160">
        <f>IF(ISNUMBER(SEARCH('1Př1'!$A$33,N160)),MAX($M$2:M159)+1,0)</f>
        <v>158</v>
      </c>
      <c r="V160" s="287" t="s">
        <v>1353</v>
      </c>
      <c r="W160" t="str">
        <f>IFERROR(VLOOKUP(ROWS($W$3:W160),$U$3:$V$718,2,0),"")</f>
        <v>Posklizňové činnosti</v>
      </c>
      <c r="X160">
        <f>IF(ISNUMBER(SEARCH('1Př1'!$A$34,N160)),MAX($M$2:M159)+1,0)</f>
        <v>158</v>
      </c>
      <c r="Y160" s="287" t="s">
        <v>1353</v>
      </c>
      <c r="Z160" t="str">
        <f>IFERROR(VLOOKUP(ROWS($Z$3:Z160),$X$3:$Y$718,2,0),"")</f>
        <v>Posklizňové činnosti</v>
      </c>
    </row>
    <row r="161" spans="1:26" ht="12.75" customHeight="1">
      <c r="A161" s="263"/>
      <c r="B161" s="263"/>
      <c r="C161" s="263"/>
      <c r="D161" s="279">
        <f>IF(ISNUMBER(SEARCH(ZAKL_DATA!$B$14,E161)),MAX($D$2:D160)+1,0)</f>
        <v>159</v>
      </c>
      <c r="E161" s="291" t="s">
        <v>1354</v>
      </c>
      <c r="F161" s="292">
        <v>3018</v>
      </c>
      <c r="G161" s="293"/>
      <c r="H161" s="294" t="str">
        <f>IFERROR(VLOOKUP(ROWS($H$3:H161),$D$3:$E$204,2,0),"")</f>
        <v>VESELÍ NAD MORAVOU</v>
      </c>
      <c r="I161" s="263"/>
      <c r="J161" s="295" t="s">
        <v>1355</v>
      </c>
      <c r="K161" s="285" t="s">
        <v>1356</v>
      </c>
      <c r="M161" s="286">
        <f>IF(ISNUMBER(SEARCH(ZAKL_DATA!$B$29,N161)),MAX($M$2:M160)+1,0)</f>
        <v>159</v>
      </c>
      <c r="N161" s="791" t="s">
        <v>2139</v>
      </c>
      <c r="O161" s="791" t="s">
        <v>3380</v>
      </c>
      <c r="Q161" s="288" t="str">
        <f>IFERROR(VLOOKUP(ROWS($Q$3:Q161),$M$3:$N$718,2,0),"")</f>
        <v>Manipulace s nákladem</v>
      </c>
      <c r="R161">
        <f>IF(ISNUMBER(SEARCH('1Př1'!$A$32,N161)),MAX($M$2:M160)+1,0)</f>
        <v>159</v>
      </c>
      <c r="S161" s="287" t="s">
        <v>1357</v>
      </c>
      <c r="T161" t="str">
        <f>IFERROR(VLOOKUP(ROWS($T$3:T161),$R$3:$S$718,2,0),"")</f>
        <v>Zpracování osiva pro účely množení</v>
      </c>
      <c r="U161">
        <f>IF(ISNUMBER(SEARCH('1Př1'!$A$33,N161)),MAX($M$2:M160)+1,0)</f>
        <v>159</v>
      </c>
      <c r="V161" s="287" t="s">
        <v>1357</v>
      </c>
      <c r="W161" t="str">
        <f>IFERROR(VLOOKUP(ROWS($W$3:W161),$U$3:$V$718,2,0),"")</f>
        <v>Zpracování osiva pro účely množení</v>
      </c>
      <c r="X161">
        <f>IF(ISNUMBER(SEARCH('1Př1'!$A$34,N161)),MAX($M$2:M160)+1,0)</f>
        <v>159</v>
      </c>
      <c r="Y161" s="287" t="s">
        <v>1357</v>
      </c>
      <c r="Z161" t="str">
        <f>IFERROR(VLOOKUP(ROWS($Z$3:Z161),$X$3:$Y$718,2,0),"")</f>
        <v>Zpracování osiva pro účely množení</v>
      </c>
    </row>
    <row r="162" spans="1:26" ht="12.75" customHeight="1">
      <c r="A162" s="263"/>
      <c r="B162" s="263"/>
      <c r="C162" s="263"/>
      <c r="D162" s="279">
        <f>IF(ISNUMBER(SEARCH(ZAKL_DATA!$B$14,E162)),MAX($D$2:D161)+1,0)</f>
        <v>160</v>
      </c>
      <c r="E162" s="291" t="s">
        <v>1358</v>
      </c>
      <c r="F162" s="292">
        <v>3019</v>
      </c>
      <c r="G162" s="293"/>
      <c r="H162" s="294" t="str">
        <f>IFERROR(VLOOKUP(ROWS($H$3:H162),$D$3:$E$204,2,0),"")</f>
        <v>VYŠKOV</v>
      </c>
      <c r="I162" s="263"/>
      <c r="J162" s="296" t="s">
        <v>1359</v>
      </c>
      <c r="K162" s="285" t="s">
        <v>1360</v>
      </c>
      <c r="M162" s="286">
        <f>IF(ISNUMBER(SEARCH(ZAKL_DATA!$B$29,N162)),MAX($M$2:M161)+1,0)</f>
        <v>160</v>
      </c>
      <c r="N162" s="791" t="s">
        <v>783</v>
      </c>
      <c r="O162" s="791" t="s">
        <v>3381</v>
      </c>
      <c r="Q162" s="288" t="str">
        <f>IFERROR(VLOOKUP(ROWS($Q$3:Q162),$M$3:$N$718,2,0),"")</f>
        <v>Množení rostlin</v>
      </c>
      <c r="R162">
        <f>IF(ISNUMBER(SEARCH('1Př1'!$A$32,N162)),MAX($M$2:M161)+1,0)</f>
        <v>160</v>
      </c>
      <c r="S162" s="287" t="s">
        <v>1361</v>
      </c>
      <c r="T162" t="str">
        <f>IFERROR(VLOOKUP(ROWS($T$3:T162),$R$3:$S$718,2,0),"")</f>
        <v>Výroba buničiny, papíru a lepenky</v>
      </c>
      <c r="U162">
        <f>IF(ISNUMBER(SEARCH('1Př1'!$A$33,N162)),MAX($M$2:M161)+1,0)</f>
        <v>160</v>
      </c>
      <c r="V162" s="287" t="s">
        <v>1361</v>
      </c>
      <c r="W162" t="str">
        <f>IFERROR(VLOOKUP(ROWS($W$3:W162),$U$3:$V$718,2,0),"")</f>
        <v>Výroba buničiny, papíru a lepenky</v>
      </c>
      <c r="X162">
        <f>IF(ISNUMBER(SEARCH('1Př1'!$A$34,N162)),MAX($M$2:M161)+1,0)</f>
        <v>160</v>
      </c>
      <c r="Y162" s="287" t="s">
        <v>1361</v>
      </c>
      <c r="Z162" t="str">
        <f>IFERROR(VLOOKUP(ROWS($Z$3:Z162),$X$3:$Y$718,2,0),"")</f>
        <v>Výroba buničiny, papíru a lepenky</v>
      </c>
    </row>
    <row r="163" spans="1:26" ht="12.75" customHeight="1">
      <c r="A163" s="263"/>
      <c r="B163" s="263"/>
      <c r="C163" s="263"/>
      <c r="D163" s="279">
        <f>IF(ISNUMBER(SEARCH(ZAKL_DATA!$B$14,E163)),MAX($D$2:D162)+1,0)</f>
        <v>161</v>
      </c>
      <c r="E163" s="291" t="s">
        <v>1362</v>
      </c>
      <c r="F163" s="292">
        <v>3020</v>
      </c>
      <c r="G163" s="293"/>
      <c r="H163" s="294" t="str">
        <f>IFERROR(VLOOKUP(ROWS($H$3:H163),$D$3:$E$204,2,0),"")</f>
        <v>ZNOJMO</v>
      </c>
      <c r="I163" s="263"/>
      <c r="J163" s="296" t="s">
        <v>1363</v>
      </c>
      <c r="K163" s="285" t="s">
        <v>1364</v>
      </c>
      <c r="M163" s="286">
        <f>IF(ISNUMBER(SEARCH(ZAKL_DATA!$B$29,N163)),MAX($M$2:M162)+1,0)</f>
        <v>161</v>
      </c>
      <c r="N163" s="791" t="s">
        <v>1603</v>
      </c>
      <c r="O163" s="791" t="s">
        <v>3382</v>
      </c>
      <c r="Q163" s="288" t="str">
        <f>IFERROR(VLOOKUP(ROWS($Q$3:Q163),$M$3:$N$718,2,0),"")</f>
        <v>Mořská akvakultura</v>
      </c>
      <c r="R163">
        <f>IF(ISNUMBER(SEARCH('1Př1'!$A$32,N163)),MAX($M$2:M162)+1,0)</f>
        <v>161</v>
      </c>
      <c r="S163" s="287" t="s">
        <v>1365</v>
      </c>
      <c r="T163" t="str">
        <f>IFERROR(VLOOKUP(ROWS($T$3:T163),$R$3:$S$718,2,0),"")</f>
        <v>Výroba výrobků z papíru a lepenky</v>
      </c>
      <c r="U163">
        <f>IF(ISNUMBER(SEARCH('1Př1'!$A$33,N163)),MAX($M$2:M162)+1,0)</f>
        <v>161</v>
      </c>
      <c r="V163" s="287" t="s">
        <v>1365</v>
      </c>
      <c r="W163" t="str">
        <f>IFERROR(VLOOKUP(ROWS($W$3:W163),$U$3:$V$718,2,0),"")</f>
        <v>Výroba výrobků z papíru a lepenky</v>
      </c>
      <c r="X163">
        <f>IF(ISNUMBER(SEARCH('1Př1'!$A$34,N163)),MAX($M$2:M162)+1,0)</f>
        <v>161</v>
      </c>
      <c r="Y163" s="287" t="s">
        <v>1365</v>
      </c>
      <c r="Z163" t="str">
        <f>IFERROR(VLOOKUP(ROWS($Z$3:Z163),$X$3:$Y$718,2,0),"")</f>
        <v>Výroba výrobků z papíru a lepenky</v>
      </c>
    </row>
    <row r="164" spans="1:26" ht="12.75" customHeight="1">
      <c r="A164" s="263"/>
      <c r="B164" s="263"/>
      <c r="C164" s="263"/>
      <c r="D164" s="279">
        <f>IF(ISNUMBER(SEARCH(ZAKL_DATA!$B$14,E164)),MAX($D$2:D163)+1,0)</f>
        <v>162</v>
      </c>
      <c r="E164" s="291" t="s">
        <v>1366</v>
      </c>
      <c r="F164" s="292">
        <v>3101</v>
      </c>
      <c r="G164" s="293"/>
      <c r="H164" s="294" t="str">
        <f>IFERROR(VLOOKUP(ROWS($H$3:H164),$D$3:$E$204,2,0),"")</f>
        <v>OLOMOUC</v>
      </c>
      <c r="I164" s="263"/>
      <c r="J164" s="296" t="s">
        <v>1367</v>
      </c>
      <c r="K164" s="285" t="s">
        <v>1368</v>
      </c>
      <c r="M164" s="286">
        <f>IF(ISNUMBER(SEARCH(ZAKL_DATA!$B$29,N164)),MAX($M$2:M163)+1,0)</f>
        <v>162</v>
      </c>
      <c r="N164" s="791" t="s">
        <v>1594</v>
      </c>
      <c r="O164" s="791" t="s">
        <v>3383</v>
      </c>
      <c r="Q164" s="288" t="str">
        <f>IFERROR(VLOOKUP(ROWS($Q$3:Q164),$M$3:$N$718,2,0),"")</f>
        <v>Mořský rybolov</v>
      </c>
      <c r="R164">
        <f>IF(ISNUMBER(SEARCH('1Př1'!$A$32,N164)),MAX($M$2:M163)+1,0)</f>
        <v>162</v>
      </c>
      <c r="S164" s="287" t="s">
        <v>1369</v>
      </c>
      <c r="T164" t="str">
        <f>IFERROR(VLOOKUP(ROWS($T$3:T164),$R$3:$S$718,2,0),"")</f>
        <v>Tisk a činnosti související s tiskem</v>
      </c>
      <c r="U164">
        <f>IF(ISNUMBER(SEARCH('1Př1'!$A$33,N164)),MAX($M$2:M163)+1,0)</f>
        <v>162</v>
      </c>
      <c r="V164" s="287" t="s">
        <v>1369</v>
      </c>
      <c r="W164" t="str">
        <f>IFERROR(VLOOKUP(ROWS($W$3:W164),$U$3:$V$718,2,0),"")</f>
        <v>Tisk a činnosti související s tiskem</v>
      </c>
      <c r="X164">
        <f>IF(ISNUMBER(SEARCH('1Př1'!$A$34,N164)),MAX($M$2:M163)+1,0)</f>
        <v>162</v>
      </c>
      <c r="Y164" s="287" t="s">
        <v>1369</v>
      </c>
      <c r="Z164" t="str">
        <f>IFERROR(VLOOKUP(ROWS($Z$3:Z164),$X$3:$Y$718,2,0),"")</f>
        <v>Tisk a činnosti související s tiskem</v>
      </c>
    </row>
    <row r="165" spans="1:26" ht="12.75" customHeight="1">
      <c r="A165" s="263"/>
      <c r="B165" s="263"/>
      <c r="C165" s="263"/>
      <c r="D165" s="279">
        <f>IF(ISNUMBER(SEARCH(ZAKL_DATA!$B$14,E165)),MAX($D$2:D164)+1,0)</f>
        <v>163</v>
      </c>
      <c r="E165" s="291" t="s">
        <v>1370</v>
      </c>
      <c r="F165" s="292">
        <v>3102</v>
      </c>
      <c r="G165" s="293"/>
      <c r="H165" s="294" t="str">
        <f>IFERROR(VLOOKUP(ROWS($H$3:H165),$D$3:$E$204,2,0),"")</f>
        <v>HRANICE</v>
      </c>
      <c r="I165" s="263"/>
      <c r="J165" s="295" t="s">
        <v>1371</v>
      </c>
      <c r="K165" s="285" t="s">
        <v>1372</v>
      </c>
      <c r="M165" s="286">
        <f>IF(ISNUMBER(SEARCH(ZAKL_DATA!$B$29,N165)),MAX($M$2:M164)+1,0)</f>
        <v>163</v>
      </c>
      <c r="N165" s="791" t="s">
        <v>1739</v>
      </c>
      <c r="O165" s="791" t="s">
        <v>3384</v>
      </c>
      <c r="Q165" s="288" t="str">
        <f>IFERROR(VLOOKUP(ROWS($Q$3:Q165),$M$3:$N$718,2,0),"")</f>
        <v>Nákup a následný prodej vlastních nemovitostí</v>
      </c>
      <c r="R165">
        <f>IF(ISNUMBER(SEARCH('1Př1'!$A$32,N165)),MAX($M$2:M164)+1,0)</f>
        <v>163</v>
      </c>
      <c r="S165" s="287" t="s">
        <v>1373</v>
      </c>
      <c r="T165" t="str">
        <f>IFERROR(VLOOKUP(ROWS($T$3:T165),$R$3:$S$718,2,0),"")</f>
        <v>Rozmnožování nahraných nosičů</v>
      </c>
      <c r="U165">
        <f>IF(ISNUMBER(SEARCH('1Př1'!$A$33,N165)),MAX($M$2:M164)+1,0)</f>
        <v>163</v>
      </c>
      <c r="V165" s="287" t="s">
        <v>1373</v>
      </c>
      <c r="W165" t="str">
        <f>IFERROR(VLOOKUP(ROWS($W$3:W165),$U$3:$V$718,2,0),"")</f>
        <v>Rozmnožování nahraných nosičů</v>
      </c>
      <c r="X165">
        <f>IF(ISNUMBER(SEARCH('1Př1'!$A$34,N165)),MAX($M$2:M164)+1,0)</f>
        <v>163</v>
      </c>
      <c r="Y165" s="287" t="s">
        <v>1373</v>
      </c>
      <c r="Z165" t="str">
        <f>IFERROR(VLOOKUP(ROWS($Z$3:Z165),$X$3:$Y$718,2,0),"")</f>
        <v>Rozmnožování nahraných nosičů</v>
      </c>
    </row>
    <row r="166" spans="1:26" ht="12.75" customHeight="1">
      <c r="A166" s="263"/>
      <c r="B166" s="263"/>
      <c r="C166" s="263"/>
      <c r="D166" s="279">
        <f>IF(ISNUMBER(SEARCH(ZAKL_DATA!$B$14,E166)),MAX($D$2:D165)+1,0)</f>
        <v>164</v>
      </c>
      <c r="E166" s="291" t="s">
        <v>1374</v>
      </c>
      <c r="F166" s="292">
        <v>3103</v>
      </c>
      <c r="G166" s="293"/>
      <c r="H166" s="294" t="str">
        <f>IFERROR(VLOOKUP(ROWS($H$3:H166),$D$3:$E$204,2,0),"")</f>
        <v>JESENÍK</v>
      </c>
      <c r="I166" s="263"/>
      <c r="J166" s="296" t="s">
        <v>1375</v>
      </c>
      <c r="K166" s="285" t="s">
        <v>1376</v>
      </c>
      <c r="M166" s="286">
        <f>IF(ISNUMBER(SEARCH(ZAKL_DATA!$B$29,N166)),MAX($M$2:M165)+1,0)</f>
        <v>164</v>
      </c>
      <c r="N166" s="791" t="s">
        <v>1702</v>
      </c>
      <c r="O166" s="791" t="s">
        <v>3385</v>
      </c>
      <c r="Q166" s="288" t="str">
        <f>IFERROR(VLOOKUP(ROWS($Q$3:Q166),$M$3:$N$718,2,0),"")</f>
        <v>Námořní a pobřežní nákladní doprava</v>
      </c>
      <c r="R166">
        <f>IF(ISNUMBER(SEARCH('1Př1'!$A$32,N166)),MAX($M$2:M165)+1,0)</f>
        <v>164</v>
      </c>
      <c r="S166" s="287" t="s">
        <v>1377</v>
      </c>
      <c r="T166" t="str">
        <f>IFERROR(VLOOKUP(ROWS($T$3:T166),$R$3:$S$718,2,0),"")</f>
        <v>Výroba koksárenských produktů</v>
      </c>
      <c r="U166">
        <f>IF(ISNUMBER(SEARCH('1Př1'!$A$33,N166)),MAX($M$2:M165)+1,0)</f>
        <v>164</v>
      </c>
      <c r="V166" s="287" t="s">
        <v>1377</v>
      </c>
      <c r="W166" t="str">
        <f>IFERROR(VLOOKUP(ROWS($W$3:W166),$U$3:$V$718,2,0),"")</f>
        <v>Výroba koksárenských produktů</v>
      </c>
      <c r="X166">
        <f>IF(ISNUMBER(SEARCH('1Př1'!$A$34,N166)),MAX($M$2:M165)+1,0)</f>
        <v>164</v>
      </c>
      <c r="Y166" s="287" t="s">
        <v>1377</v>
      </c>
      <c r="Z166" t="str">
        <f>IFERROR(VLOOKUP(ROWS($Z$3:Z166),$X$3:$Y$718,2,0),"")</f>
        <v>Výroba koksárenských produktů</v>
      </c>
    </row>
    <row r="167" spans="1:26" ht="12.75" customHeight="1">
      <c r="A167" s="263"/>
      <c r="B167" s="263"/>
      <c r="C167" s="263"/>
      <c r="D167" s="279">
        <f>IF(ISNUMBER(SEARCH(ZAKL_DATA!$B$14,E167)),MAX($D$2:D166)+1,0)</f>
        <v>165</v>
      </c>
      <c r="E167" s="291" t="s">
        <v>1378</v>
      </c>
      <c r="F167" s="292">
        <v>3104</v>
      </c>
      <c r="G167" s="293"/>
      <c r="H167" s="294" t="str">
        <f>IFERROR(VLOOKUP(ROWS($H$3:H167),$D$3:$E$204,2,0),"")</f>
        <v>KONICE</v>
      </c>
      <c r="I167" s="263"/>
      <c r="J167" s="296" t="s">
        <v>1379</v>
      </c>
      <c r="K167" s="285" t="s">
        <v>1380</v>
      </c>
      <c r="M167" s="286">
        <f>IF(ISNUMBER(SEARCH(ZAKL_DATA!$B$29,N167)),MAX($M$2:M166)+1,0)</f>
        <v>165</v>
      </c>
      <c r="N167" s="791" t="s">
        <v>1701</v>
      </c>
      <c r="O167" s="791" t="s">
        <v>3386</v>
      </c>
      <c r="Q167" s="288" t="str">
        <f>IFERROR(VLOOKUP(ROWS($Q$3:Q167),$M$3:$N$718,2,0),"")</f>
        <v>Námořní a pobřežní osobní doprava</v>
      </c>
      <c r="R167">
        <f>IF(ISNUMBER(SEARCH('1Př1'!$A$32,N167)),MAX($M$2:M166)+1,0)</f>
        <v>165</v>
      </c>
      <c r="S167" s="287" t="s">
        <v>1381</v>
      </c>
      <c r="T167" t="str">
        <f>IFERROR(VLOOKUP(ROWS($T$3:T167),$R$3:$S$718,2,0),"")</f>
        <v>Výroba rafinovaných ropných produktů</v>
      </c>
      <c r="U167">
        <f>IF(ISNUMBER(SEARCH('1Př1'!$A$33,N167)),MAX($M$2:M166)+1,0)</f>
        <v>165</v>
      </c>
      <c r="V167" s="287" t="s">
        <v>1381</v>
      </c>
      <c r="W167" t="str">
        <f>IFERROR(VLOOKUP(ROWS($W$3:W167),$U$3:$V$718,2,0),"")</f>
        <v>Výroba rafinovaných ropných produktů</v>
      </c>
      <c r="X167">
        <f>IF(ISNUMBER(SEARCH('1Př1'!$A$34,N167)),MAX($M$2:M166)+1,0)</f>
        <v>165</v>
      </c>
      <c r="Y167" s="287" t="s">
        <v>1381</v>
      </c>
      <c r="Z167" t="str">
        <f>IFERROR(VLOOKUP(ROWS($Z$3:Z167),$X$3:$Y$718,2,0),"")</f>
        <v>Výroba rafinovaných ropných produktů</v>
      </c>
    </row>
    <row r="168" spans="1:26" ht="12.75" customHeight="1">
      <c r="A168" s="263"/>
      <c r="B168" s="263"/>
      <c r="C168" s="263"/>
      <c r="D168" s="279">
        <f>IF(ISNUMBER(SEARCH(ZAKL_DATA!$B$14,E168)),MAX($D$2:D167)+1,0)</f>
        <v>166</v>
      </c>
      <c r="E168" s="291" t="s">
        <v>1382</v>
      </c>
      <c r="F168" s="292">
        <v>3105</v>
      </c>
      <c r="G168" s="293"/>
      <c r="H168" s="294" t="str">
        <f>IFERROR(VLOOKUP(ROWS($H$3:H168),$D$3:$E$204,2,0),"")</f>
        <v>LITOVEL</v>
      </c>
      <c r="I168" s="263"/>
      <c r="J168" s="296" t="s">
        <v>1383</v>
      </c>
      <c r="K168" s="285" t="s">
        <v>1384</v>
      </c>
      <c r="M168" s="286">
        <f>IF(ISNUMBER(SEARCH(ZAKL_DATA!$B$29,N168)),MAX($M$2:M167)+1,0)</f>
        <v>166</v>
      </c>
      <c r="N168" s="791" t="s">
        <v>3387</v>
      </c>
      <c r="O168" s="791" t="s">
        <v>3388</v>
      </c>
      <c r="Q168" s="288" t="str">
        <f>IFERROR(VLOOKUP(ROWS($Q$3:Q168),$M$3:$N$718,2,0),"")</f>
        <v>Navrhování interiérů</v>
      </c>
      <c r="R168">
        <f>IF(ISNUMBER(SEARCH('1Př1'!$A$32,N168)),MAX($M$2:M167)+1,0)</f>
        <v>166</v>
      </c>
      <c r="S168" s="287" t="s">
        <v>1385</v>
      </c>
      <c r="T168" t="str">
        <f>IFERROR(VLOOKUP(ROWS($T$3:T168),$R$3:$S$718,2,0),"")</f>
        <v>Výroba zákl.chem.látek,hnojiv a dusík.sl.,plastů a synt.kaučuku v prim.f.</v>
      </c>
      <c r="U168">
        <f>IF(ISNUMBER(SEARCH('1Př1'!$A$33,N168)),MAX($M$2:M167)+1,0)</f>
        <v>166</v>
      </c>
      <c r="V168" s="287" t="s">
        <v>1385</v>
      </c>
      <c r="W168" t="str">
        <f>IFERROR(VLOOKUP(ROWS($W$3:W168),$U$3:$V$718,2,0),"")</f>
        <v>Výroba zákl.chem.látek,hnojiv a dusík.sl.,plastů a synt.kaučuku v prim.f.</v>
      </c>
      <c r="X168">
        <f>IF(ISNUMBER(SEARCH('1Př1'!$A$34,N168)),MAX($M$2:M167)+1,0)</f>
        <v>166</v>
      </c>
      <c r="Y168" s="287" t="s">
        <v>1385</v>
      </c>
      <c r="Z168" t="str">
        <f>IFERROR(VLOOKUP(ROWS($Z$3:Z168),$X$3:$Y$718,2,0),"")</f>
        <v>Výroba zákl.chem.látek,hnojiv a dusík.sl.,plastů a synt.kaučuku v prim.f.</v>
      </c>
    </row>
    <row r="169" spans="1:26" ht="12.75" customHeight="1">
      <c r="A169" s="263"/>
      <c r="B169" s="263"/>
      <c r="C169" s="263"/>
      <c r="D169" s="279">
        <f>IF(ISNUMBER(SEARCH(ZAKL_DATA!$B$14,E169)),MAX($D$2:D168)+1,0)</f>
        <v>167</v>
      </c>
      <c r="E169" s="291" t="s">
        <v>1386</v>
      </c>
      <c r="F169" s="292">
        <v>3106</v>
      </c>
      <c r="G169" s="293"/>
      <c r="H169" s="294" t="str">
        <f>IFERROR(VLOOKUP(ROWS($H$3:H169),$D$3:$E$204,2,0),"")</f>
        <v>PROSTĚJOV</v>
      </c>
      <c r="I169" s="263"/>
      <c r="J169" s="296" t="s">
        <v>1387</v>
      </c>
      <c r="K169" s="285" t="s">
        <v>1388</v>
      </c>
      <c r="M169" s="286">
        <f>IF(ISNUMBER(SEARCH(ZAKL_DATA!$B$29,N169)),MAX($M$2:M168)+1,0)</f>
        <v>167</v>
      </c>
      <c r="N169" s="791" t="s">
        <v>3389</v>
      </c>
      <c r="O169" s="791" t="s">
        <v>3390</v>
      </c>
      <c r="Q169" s="288" t="str">
        <f>IFERROR(VLOOKUP(ROWS($Q$3:Q169),$M$3:$N$718,2,0),"")</f>
        <v>Nepravidelná silniční osobní doprava</v>
      </c>
      <c r="R169">
        <f>IF(ISNUMBER(SEARCH('1Př1'!$A$32,N169)),MAX($M$2:M168)+1,0)</f>
        <v>167</v>
      </c>
      <c r="S169" s="287" t="s">
        <v>1389</v>
      </c>
      <c r="T169" t="str">
        <f>IFERROR(VLOOKUP(ROWS($T$3:T169),$R$3:$S$718,2,0),"")</f>
        <v>Výroba pesticidů a jiných agrochemických přípravků</v>
      </c>
      <c r="U169">
        <f>IF(ISNUMBER(SEARCH('1Př1'!$A$33,N169)),MAX($M$2:M168)+1,0)</f>
        <v>167</v>
      </c>
      <c r="V169" s="287" t="s">
        <v>1389</v>
      </c>
      <c r="W169" t="str">
        <f>IFERROR(VLOOKUP(ROWS($W$3:W169),$U$3:$V$718,2,0),"")</f>
        <v>Výroba pesticidů a jiných agrochemických přípravků</v>
      </c>
      <c r="X169">
        <f>IF(ISNUMBER(SEARCH('1Př1'!$A$34,N169)),MAX($M$2:M168)+1,0)</f>
        <v>167</v>
      </c>
      <c r="Y169" s="287" t="s">
        <v>1389</v>
      </c>
      <c r="Z169" t="str">
        <f>IFERROR(VLOOKUP(ROWS($Z$3:Z169),$X$3:$Y$718,2,0),"")</f>
        <v>Výroba pesticidů a jiných agrochemických přípravků</v>
      </c>
    </row>
    <row r="170" spans="1:26" ht="12.75" customHeight="1">
      <c r="A170" s="263"/>
      <c r="B170" s="263"/>
      <c r="C170" s="263"/>
      <c r="D170" s="279">
        <f>IF(ISNUMBER(SEARCH(ZAKL_DATA!$B$14,E170)),MAX($D$2:D169)+1,0)</f>
        <v>168</v>
      </c>
      <c r="E170" s="291" t="s">
        <v>1390</v>
      </c>
      <c r="F170" s="292">
        <v>3107</v>
      </c>
      <c r="G170" s="293"/>
      <c r="H170" s="294" t="str">
        <f>IFERROR(VLOOKUP(ROWS($H$3:H170),$D$3:$E$204,2,0),"")</f>
        <v>PŘEROV</v>
      </c>
      <c r="I170" s="263"/>
      <c r="J170" s="296" t="s">
        <v>1391</v>
      </c>
      <c r="K170" s="285" t="s">
        <v>1392</v>
      </c>
      <c r="M170" s="286">
        <f>IF(ISNUMBER(SEARCH(ZAKL_DATA!$B$29,N170)),MAX($M$2:M169)+1,0)</f>
        <v>168</v>
      </c>
      <c r="N170" s="791" t="s">
        <v>3391</v>
      </c>
      <c r="O170" s="791" t="s">
        <v>3392</v>
      </c>
      <c r="Q170" s="288" t="str">
        <f>IFERROR(VLOOKUP(ROWS($Q$3:Q170),$M$3:$N$718,2,0),"")</f>
        <v>Nespecializovaný maloobchod s převahou potravin, nápojů a tabákových výrobků</v>
      </c>
      <c r="R170">
        <f>IF(ISNUMBER(SEARCH('1Př1'!$A$32,N170)),MAX($M$2:M169)+1,0)</f>
        <v>168</v>
      </c>
      <c r="S170" s="287" t="s">
        <v>1393</v>
      </c>
      <c r="T170" t="str">
        <f>IFERROR(VLOOKUP(ROWS($T$3:T170),$R$3:$S$718,2,0),"")</f>
        <v>Výroba nátěr.barev,laků a jiných nátěrových mater.,tisk.barev a tmelů</v>
      </c>
      <c r="U170">
        <f>IF(ISNUMBER(SEARCH('1Př1'!$A$33,N170)),MAX($M$2:M169)+1,0)</f>
        <v>168</v>
      </c>
      <c r="V170" s="287" t="s">
        <v>1393</v>
      </c>
      <c r="W170" t="str">
        <f>IFERROR(VLOOKUP(ROWS($W$3:W170),$U$3:$V$718,2,0),"")</f>
        <v>Výroba nátěr.barev,laků a jiných nátěrových mater.,tisk.barev a tmelů</v>
      </c>
      <c r="X170">
        <f>IF(ISNUMBER(SEARCH('1Př1'!$A$34,N170)),MAX($M$2:M169)+1,0)</f>
        <v>168</v>
      </c>
      <c r="Y170" s="287" t="s">
        <v>1393</v>
      </c>
      <c r="Z170" t="str">
        <f>IFERROR(VLOOKUP(ROWS($Z$3:Z170),$X$3:$Y$718,2,0),"")</f>
        <v>Výroba nátěr.barev,laků a jiných nátěrových mater.,tisk.barev a tmelů</v>
      </c>
    </row>
    <row r="171" spans="1:26" ht="12.75" customHeight="1">
      <c r="A171" s="263"/>
      <c r="B171" s="263"/>
      <c r="C171" s="263"/>
      <c r="D171" s="279">
        <f>IF(ISNUMBER(SEARCH(ZAKL_DATA!$B$14,E171)),MAX($D$2:D170)+1,0)</f>
        <v>169</v>
      </c>
      <c r="E171" s="291" t="s">
        <v>1394</v>
      </c>
      <c r="F171" s="292">
        <v>3108</v>
      </c>
      <c r="G171" s="293"/>
      <c r="H171" s="294" t="str">
        <f>IFERROR(VLOOKUP(ROWS($H$3:H171),$D$3:$E$204,2,0),"")</f>
        <v>ŠTERNBERK</v>
      </c>
      <c r="I171" s="263"/>
      <c r="J171" s="296" t="s">
        <v>1395</v>
      </c>
      <c r="K171" s="285" t="s">
        <v>1396</v>
      </c>
      <c r="M171" s="286">
        <f>IF(ISNUMBER(SEARCH(ZAKL_DATA!$B$29,N171)),MAX($M$2:M170)+1,0)</f>
        <v>169</v>
      </c>
      <c r="N171" s="791" t="s">
        <v>1686</v>
      </c>
      <c r="O171" s="791" t="s">
        <v>3393</v>
      </c>
      <c r="Q171" s="288" t="str">
        <f>IFERROR(VLOOKUP(ROWS($Q$3:Q171),$M$3:$N$718,2,0),"")</f>
        <v>Nespecializovaný velkoobchod</v>
      </c>
      <c r="R171">
        <f>IF(ISNUMBER(SEARCH('1Př1'!$A$32,N171)),MAX($M$2:M170)+1,0)</f>
        <v>169</v>
      </c>
      <c r="S171" s="287" t="s">
        <v>1397</v>
      </c>
      <c r="T171" t="str">
        <f>IFERROR(VLOOKUP(ROWS($T$3:T171),$R$3:$S$718,2,0),"")</f>
        <v>Výroba mýdel a detergentů,čist.a lešticích prostř.,parfémů a toal. přípr.</v>
      </c>
      <c r="U171">
        <f>IF(ISNUMBER(SEARCH('1Př1'!$A$33,N171)),MAX($M$2:M170)+1,0)</f>
        <v>169</v>
      </c>
      <c r="V171" s="287" t="s">
        <v>1397</v>
      </c>
      <c r="W171" t="str">
        <f>IFERROR(VLOOKUP(ROWS($W$3:W171),$U$3:$V$718,2,0),"")</f>
        <v>Výroba mýdel a detergentů,čist.a lešticích prostř.,parfémů a toal. přípr.</v>
      </c>
      <c r="X171">
        <f>IF(ISNUMBER(SEARCH('1Př1'!$A$34,N171)),MAX($M$2:M170)+1,0)</f>
        <v>169</v>
      </c>
      <c r="Y171" s="287" t="s">
        <v>1397</v>
      </c>
      <c r="Z171" t="str">
        <f>IFERROR(VLOOKUP(ROWS($Z$3:Z171),$X$3:$Y$718,2,0),"")</f>
        <v>Výroba mýdel a detergentů,čist.a lešticích prostř.,parfémů a toal. přípr.</v>
      </c>
    </row>
    <row r="172" spans="1:26" ht="12.75" customHeight="1">
      <c r="A172" s="263"/>
      <c r="B172" s="263"/>
      <c r="C172" s="263"/>
      <c r="D172" s="279">
        <f>IF(ISNUMBER(SEARCH(ZAKL_DATA!$B$14,E172)),MAX($D$2:D171)+1,0)</f>
        <v>170</v>
      </c>
      <c r="E172" s="291" t="s">
        <v>1398</v>
      </c>
      <c r="F172" s="292">
        <v>3109</v>
      </c>
      <c r="G172" s="293"/>
      <c r="H172" s="294" t="str">
        <f>IFERROR(VLOOKUP(ROWS($H$3:H172),$D$3:$E$204,2,0),"")</f>
        <v>ŠUMPERK</v>
      </c>
      <c r="I172" s="263"/>
      <c r="J172" s="296" t="s">
        <v>1399</v>
      </c>
      <c r="K172" s="285" t="s">
        <v>1400</v>
      </c>
      <c r="M172" s="286">
        <f>IF(ISNUMBER(SEARCH(ZAKL_DATA!$B$29,N172)),MAX($M$2:M171)+1,0)</f>
        <v>170</v>
      </c>
      <c r="N172" s="791" t="s">
        <v>3394</v>
      </c>
      <c r="O172" s="791" t="s">
        <v>3395</v>
      </c>
      <c r="Q172" s="288" t="str">
        <f>IFERROR(VLOOKUP(ROWS($Q$3:Q172),$M$3:$N$718,2,0),"")</f>
        <v>Nespecializovaný velkoobchod s potravinami, nápoji a tabákovými výrobky</v>
      </c>
      <c r="R172">
        <f>IF(ISNUMBER(SEARCH('1Př1'!$A$32,N172)),MAX($M$2:M171)+1,0)</f>
        <v>170</v>
      </c>
      <c r="S172" s="287" t="s">
        <v>1401</v>
      </c>
      <c r="T172" t="str">
        <f>IFERROR(VLOOKUP(ROWS($T$3:T172),$R$3:$S$718,2,0),"")</f>
        <v>Výroba ostatních chemických výrobků</v>
      </c>
      <c r="U172">
        <f>IF(ISNUMBER(SEARCH('1Př1'!$A$33,N172)),MAX($M$2:M171)+1,0)</f>
        <v>170</v>
      </c>
      <c r="V172" s="287" t="s">
        <v>1401</v>
      </c>
      <c r="W172" t="str">
        <f>IFERROR(VLOOKUP(ROWS($W$3:W172),$U$3:$V$718,2,0),"")</f>
        <v>Výroba ostatních chemických výrobků</v>
      </c>
      <c r="X172">
        <f>IF(ISNUMBER(SEARCH('1Př1'!$A$34,N172)),MAX($M$2:M171)+1,0)</f>
        <v>170</v>
      </c>
      <c r="Y172" s="287" t="s">
        <v>1401</v>
      </c>
      <c r="Z172" t="str">
        <f>IFERROR(VLOOKUP(ROWS($Z$3:Z172),$X$3:$Y$718,2,0),"")</f>
        <v>Výroba ostatních chemických výrobků</v>
      </c>
    </row>
    <row r="173" spans="1:26" ht="12.75" customHeight="1">
      <c r="A173" s="263"/>
      <c r="B173" s="263"/>
      <c r="C173" s="263"/>
      <c r="D173" s="279">
        <f>IF(ISNUMBER(SEARCH(ZAKL_DATA!$B$14,E173)),MAX($D$2:D172)+1,0)</f>
        <v>171</v>
      </c>
      <c r="E173" s="291" t="s">
        <v>1402</v>
      </c>
      <c r="F173" s="292">
        <v>3110</v>
      </c>
      <c r="G173" s="293"/>
      <c r="H173" s="294" t="str">
        <f>IFERROR(VLOOKUP(ROWS($H$3:H173),$D$3:$E$204,2,0),"")</f>
        <v>ZÁBŘEH</v>
      </c>
      <c r="I173" s="263"/>
      <c r="J173" s="296" t="s">
        <v>1403</v>
      </c>
      <c r="K173" s="285" t="s">
        <v>1404</v>
      </c>
      <c r="M173" s="286">
        <f>IF(ISNUMBER(SEARCH(ZAKL_DATA!$B$29,N173)),MAX($M$2:M172)+1,0)</f>
        <v>171</v>
      </c>
      <c r="N173" s="791" t="s">
        <v>2005</v>
      </c>
      <c r="O173" s="791" t="s">
        <v>3396</v>
      </c>
      <c r="Q173" s="288" t="str">
        <f>IFERROR(VLOOKUP(ROWS($Q$3:Q173),$M$3:$N$718,2,0),"")</f>
        <v>Obchod s elektřinou</v>
      </c>
      <c r="R173">
        <f>IF(ISNUMBER(SEARCH('1Př1'!$A$32,N173)),MAX($M$2:M172)+1,0)</f>
        <v>171</v>
      </c>
      <c r="S173" s="287" t="s">
        <v>1405</v>
      </c>
      <c r="T173" t="str">
        <f>IFERROR(VLOOKUP(ROWS($T$3:T173),$R$3:$S$718,2,0),"")</f>
        <v>Výroba chemických vláken</v>
      </c>
      <c r="U173">
        <f>IF(ISNUMBER(SEARCH('1Př1'!$A$33,N173)),MAX($M$2:M172)+1,0)</f>
        <v>171</v>
      </c>
      <c r="V173" s="287" t="s">
        <v>1405</v>
      </c>
      <c r="W173" t="str">
        <f>IFERROR(VLOOKUP(ROWS($W$3:W173),$U$3:$V$718,2,0),"")</f>
        <v>Výroba chemických vláken</v>
      </c>
      <c r="X173">
        <f>IF(ISNUMBER(SEARCH('1Př1'!$A$34,N173)),MAX($M$2:M172)+1,0)</f>
        <v>171</v>
      </c>
      <c r="Y173" s="287" t="s">
        <v>1405</v>
      </c>
      <c r="Z173" t="str">
        <f>IFERROR(VLOOKUP(ROWS($Z$3:Z173),$X$3:$Y$718,2,0),"")</f>
        <v>Výroba chemických vláken</v>
      </c>
    </row>
    <row r="174" spans="1:26" ht="12.75" customHeight="1">
      <c r="A174" s="263"/>
      <c r="B174" s="263"/>
      <c r="C174" s="263"/>
      <c r="D174" s="279">
        <f>IF(ISNUMBER(SEARCH(ZAKL_DATA!$B$14,E174)),MAX($D$2:D173)+1,0)</f>
        <v>172</v>
      </c>
      <c r="E174" s="291" t="s">
        <v>1406</v>
      </c>
      <c r="F174" s="292">
        <v>3201</v>
      </c>
      <c r="G174" s="293"/>
      <c r="H174" s="294" t="str">
        <f>IFERROR(VLOOKUP(ROWS($H$3:H174),$D$3:$E$204,2,0),"")</f>
        <v>OSTRAVA I</v>
      </c>
      <c r="I174" s="263"/>
      <c r="J174" s="296" t="s">
        <v>1407</v>
      </c>
      <c r="K174" s="285" t="s">
        <v>1408</v>
      </c>
      <c r="M174" s="286">
        <f>IF(ISNUMBER(SEARCH(ZAKL_DATA!$B$29,N174)),MAX($M$2:M173)+1,0)</f>
        <v>172</v>
      </c>
      <c r="N174" s="791" t="s">
        <v>2008</v>
      </c>
      <c r="O174" s="791" t="s">
        <v>3397</v>
      </c>
      <c r="Q174" s="288" t="str">
        <f>IFERROR(VLOOKUP(ROWS($Q$3:Q174),$M$3:$N$718,2,0),"")</f>
        <v>Obchod s plynem prostřednictvím sítí</v>
      </c>
      <c r="R174">
        <f>IF(ISNUMBER(SEARCH('1Př1'!$A$32,N174)),MAX($M$2:M173)+1,0)</f>
        <v>172</v>
      </c>
      <c r="S174" s="287" t="s">
        <v>1409</v>
      </c>
      <c r="T174" t="str">
        <f>IFERROR(VLOOKUP(ROWS($T$3:T174),$R$3:$S$718,2,0),"")</f>
        <v>Výroba základních farmaceutických výrobků</v>
      </c>
      <c r="U174">
        <f>IF(ISNUMBER(SEARCH('1Př1'!$A$33,N174)),MAX($M$2:M173)+1,0)</f>
        <v>172</v>
      </c>
      <c r="V174" s="287" t="s">
        <v>1409</v>
      </c>
      <c r="W174" t="str">
        <f>IFERROR(VLOOKUP(ROWS($W$3:W174),$U$3:$V$718,2,0),"")</f>
        <v>Výroba základních farmaceutických výrobků</v>
      </c>
      <c r="X174">
        <f>IF(ISNUMBER(SEARCH('1Př1'!$A$34,N174)),MAX($M$2:M173)+1,0)</f>
        <v>172</v>
      </c>
      <c r="Y174" s="287" t="s">
        <v>1409</v>
      </c>
      <c r="Z174" t="str">
        <f>IFERROR(VLOOKUP(ROWS($Z$3:Z174),$X$3:$Y$718,2,0),"")</f>
        <v>Výroba základních farmaceutických výrobků</v>
      </c>
    </row>
    <row r="175" spans="1:26" ht="12.75" customHeight="1">
      <c r="A175" s="263"/>
      <c r="B175" s="263"/>
      <c r="C175" s="263"/>
      <c r="D175" s="279">
        <f>IF(ISNUMBER(SEARCH(ZAKL_DATA!$B$14,E175)),MAX($D$2:D174)+1,0)</f>
        <v>173</v>
      </c>
      <c r="E175" s="291" t="s">
        <v>1410</v>
      </c>
      <c r="F175" s="292">
        <v>3202</v>
      </c>
      <c r="G175" s="293"/>
      <c r="H175" s="294" t="str">
        <f>IFERROR(VLOOKUP(ROWS($H$3:H175),$D$3:$E$204,2,0),"")</f>
        <v>OSTRAVA II</v>
      </c>
      <c r="I175" s="263"/>
      <c r="J175" s="296" t="s">
        <v>1411</v>
      </c>
      <c r="K175" s="285" t="s">
        <v>1412</v>
      </c>
      <c r="M175" s="286">
        <f>IF(ISNUMBER(SEARCH(ZAKL_DATA!$B$29,N175)),MAX($M$2:M174)+1,0)</f>
        <v>173</v>
      </c>
      <c r="N175" s="791" t="s">
        <v>2147</v>
      </c>
      <c r="O175" s="791" t="s">
        <v>3398</v>
      </c>
      <c r="Q175" s="288" t="str">
        <f>IFERROR(VLOOKUP(ROWS($Q$3:Q175),$M$3:$N$718,2,0),"")</f>
        <v>Obchodování s cennými papíry a komoditami na burzách</v>
      </c>
      <c r="R175">
        <f>IF(ISNUMBER(SEARCH('1Př1'!$A$32,N175)),MAX($M$2:M174)+1,0)</f>
        <v>173</v>
      </c>
      <c r="S175" s="287" t="s">
        <v>1413</v>
      </c>
      <c r="T175" t="str">
        <f>IFERROR(VLOOKUP(ROWS($T$3:T175),$R$3:$S$718,2,0),"")</f>
        <v>Výroba farmaceutických přípravků</v>
      </c>
      <c r="U175">
        <f>IF(ISNUMBER(SEARCH('1Př1'!$A$33,N175)),MAX($M$2:M174)+1,0)</f>
        <v>173</v>
      </c>
      <c r="V175" s="287" t="s">
        <v>1413</v>
      </c>
      <c r="W175" t="str">
        <f>IFERROR(VLOOKUP(ROWS($W$3:W175),$U$3:$V$718,2,0),"")</f>
        <v>Výroba farmaceutických přípravků</v>
      </c>
      <c r="X175">
        <f>IF(ISNUMBER(SEARCH('1Př1'!$A$34,N175)),MAX($M$2:M174)+1,0)</f>
        <v>173</v>
      </c>
      <c r="Y175" s="287" t="s">
        <v>1413</v>
      </c>
      <c r="Z175" t="str">
        <f>IFERROR(VLOOKUP(ROWS($Z$3:Z175),$X$3:$Y$718,2,0),"")</f>
        <v>Výroba farmaceutických přípravků</v>
      </c>
    </row>
    <row r="176" spans="1:26" ht="12.75" customHeight="1">
      <c r="A176" s="263"/>
      <c r="B176" s="263"/>
      <c r="C176" s="263"/>
      <c r="D176" s="279">
        <f>IF(ISNUMBER(SEARCH(ZAKL_DATA!$B$14,E176)),MAX($D$2:D175)+1,0)</f>
        <v>174</v>
      </c>
      <c r="E176" s="291" t="s">
        <v>1414</v>
      </c>
      <c r="F176" s="292">
        <v>3203</v>
      </c>
      <c r="G176" s="293"/>
      <c r="H176" s="294" t="str">
        <f>IFERROR(VLOOKUP(ROWS($H$3:H176),$D$3:$E$204,2,0),"")</f>
        <v>OSTRAVA III</v>
      </c>
      <c r="I176" s="263"/>
      <c r="J176" s="296" t="s">
        <v>1415</v>
      </c>
      <c r="K176" s="285" t="s">
        <v>1416</v>
      </c>
      <c r="M176" s="286">
        <f>IF(ISNUMBER(SEARCH(ZAKL_DATA!$B$29,N176)),MAX($M$2:M175)+1,0)</f>
        <v>174</v>
      </c>
      <c r="N176" s="791" t="s">
        <v>2200</v>
      </c>
      <c r="O176" s="791" t="s">
        <v>3399</v>
      </c>
      <c r="Q176" s="288" t="str">
        <f>IFERROR(VLOOKUP(ROWS($Q$3:Q176),$M$3:$N$718,2,0),"")</f>
        <v>Obchodování s cennými papíry na vlastní účet</v>
      </c>
      <c r="R176">
        <f>IF(ISNUMBER(SEARCH('1Př1'!$A$32,N176)),MAX($M$2:M175)+1,0)</f>
        <v>174</v>
      </c>
      <c r="S176" s="287" t="s">
        <v>1417</v>
      </c>
      <c r="T176" t="str">
        <f>IFERROR(VLOOKUP(ROWS($T$3:T176),$R$3:$S$718,2,0),"")</f>
        <v>Výroba pryžových výrobků</v>
      </c>
      <c r="U176">
        <f>IF(ISNUMBER(SEARCH('1Př1'!$A$33,N176)),MAX($M$2:M175)+1,0)</f>
        <v>174</v>
      </c>
      <c r="V176" s="287" t="s">
        <v>1417</v>
      </c>
      <c r="W176" t="str">
        <f>IFERROR(VLOOKUP(ROWS($W$3:W176),$U$3:$V$718,2,0),"")</f>
        <v>Výroba pryžových výrobků</v>
      </c>
      <c r="X176">
        <f>IF(ISNUMBER(SEARCH('1Př1'!$A$34,N176)),MAX($M$2:M175)+1,0)</f>
        <v>174</v>
      </c>
      <c r="Y176" s="287" t="s">
        <v>1417</v>
      </c>
      <c r="Z176" t="str">
        <f>IFERROR(VLOOKUP(ROWS($Z$3:Z176),$X$3:$Y$718,2,0),"")</f>
        <v>Výroba pryžových výrobků</v>
      </c>
    </row>
    <row r="177" spans="1:26" ht="12.75" customHeight="1">
      <c r="A177" s="263"/>
      <c r="B177" s="263"/>
      <c r="C177" s="263"/>
      <c r="D177" s="279">
        <f>IF(ISNUMBER(SEARCH(ZAKL_DATA!$B$14,E177)),MAX($D$2:D176)+1,0)</f>
        <v>175</v>
      </c>
      <c r="E177" s="291" t="s">
        <v>1418</v>
      </c>
      <c r="F177" s="292">
        <v>3204</v>
      </c>
      <c r="G177" s="293"/>
      <c r="H177" s="294" t="str">
        <f>IFERROR(VLOOKUP(ROWS($H$3:H177),$D$3:$E$204,2,0),"")</f>
        <v>BOHUMÍN</v>
      </c>
      <c r="I177" s="263"/>
      <c r="J177" s="296" t="s">
        <v>1419</v>
      </c>
      <c r="K177" s="285" t="s">
        <v>1420</v>
      </c>
      <c r="M177" s="286">
        <f>IF(ISNUMBER(SEARCH(ZAKL_DATA!$B$29,N177)),MAX($M$2:M176)+1,0)</f>
        <v>175</v>
      </c>
      <c r="N177" s="791" t="s">
        <v>2031</v>
      </c>
      <c r="O177" s="791" t="s">
        <v>3400</v>
      </c>
      <c r="Q177" s="288" t="str">
        <f>IFERROR(VLOOKUP(ROWS($Q$3:Q177),$M$3:$N$718,2,0),"")</f>
        <v>Obkládání stěn a pokládání podlahových krytin</v>
      </c>
      <c r="R177">
        <f>IF(ISNUMBER(SEARCH('1Př1'!$A$32,N177)),MAX($M$2:M176)+1,0)</f>
        <v>175</v>
      </c>
      <c r="S177" s="287" t="s">
        <v>1421</v>
      </c>
      <c r="T177" t="str">
        <f>IFERROR(VLOOKUP(ROWS($T$3:T177),$R$3:$S$718,2,0),"")</f>
        <v>Výroba plastových výrobků</v>
      </c>
      <c r="U177">
        <f>IF(ISNUMBER(SEARCH('1Př1'!$A$33,N177)),MAX($M$2:M176)+1,0)</f>
        <v>175</v>
      </c>
      <c r="V177" s="287" t="s">
        <v>1421</v>
      </c>
      <c r="W177" t="str">
        <f>IFERROR(VLOOKUP(ROWS($W$3:W177),$U$3:$V$718,2,0),"")</f>
        <v>Výroba plastových výrobků</v>
      </c>
      <c r="X177">
        <f>IF(ISNUMBER(SEARCH('1Př1'!$A$34,N177)),MAX($M$2:M176)+1,0)</f>
        <v>175</v>
      </c>
      <c r="Y177" s="287" t="s">
        <v>1421</v>
      </c>
      <c r="Z177" t="str">
        <f>IFERROR(VLOOKUP(ROWS($Z$3:Z177),$X$3:$Y$718,2,0),"")</f>
        <v>Výroba plastových výrobků</v>
      </c>
    </row>
    <row r="178" spans="1:26" ht="12.75" customHeight="1">
      <c r="A178" s="263"/>
      <c r="B178" s="263"/>
      <c r="C178" s="263"/>
      <c r="D178" s="279">
        <f>IF(ISNUMBER(SEARCH(ZAKL_DATA!$B$14,E178)),MAX($D$2:D177)+1,0)</f>
        <v>176</v>
      </c>
      <c r="E178" s="291" t="s">
        <v>1422</v>
      </c>
      <c r="F178" s="292">
        <v>3205</v>
      </c>
      <c r="G178" s="293"/>
      <c r="H178" s="294" t="str">
        <f>IFERROR(VLOOKUP(ROWS($H$3:H178),$D$3:$E$204,2,0),"")</f>
        <v>BRUNTÁL</v>
      </c>
      <c r="I178" s="263"/>
      <c r="J178" s="296" t="s">
        <v>1423</v>
      </c>
      <c r="K178" s="285" t="s">
        <v>1424</v>
      </c>
      <c r="M178" s="286">
        <f>IF(ISNUMBER(SEARCH(ZAKL_DATA!$B$29,N178)),MAX($M$2:M177)+1,0)</f>
        <v>176</v>
      </c>
      <c r="N178" s="791" t="s">
        <v>3401</v>
      </c>
      <c r="O178" s="791" t="s">
        <v>3402</v>
      </c>
      <c r="Q178" s="288" t="str">
        <f>IFERROR(VLOOKUP(ROWS($Q$3:Q178),$M$3:$N$718,2,0),"")</f>
        <v>Obrábění kovů</v>
      </c>
      <c r="R178">
        <f>IF(ISNUMBER(SEARCH('1Př1'!$A$32,N178)),MAX($M$2:M177)+1,0)</f>
        <v>176</v>
      </c>
      <c r="S178" s="287" t="s">
        <v>1425</v>
      </c>
      <c r="T178" t="str">
        <f>IFERROR(VLOOKUP(ROWS($T$3:T178),$R$3:$S$718,2,0),"")</f>
        <v>Výroba skla a skleněných výrobků</v>
      </c>
      <c r="U178">
        <f>IF(ISNUMBER(SEARCH('1Př1'!$A$33,N178)),MAX($M$2:M177)+1,0)</f>
        <v>176</v>
      </c>
      <c r="V178" s="287" t="s">
        <v>1425</v>
      </c>
      <c r="W178" t="str">
        <f>IFERROR(VLOOKUP(ROWS($W$3:W178),$U$3:$V$718,2,0),"")</f>
        <v>Výroba skla a skleněných výrobků</v>
      </c>
      <c r="X178">
        <f>IF(ISNUMBER(SEARCH('1Př1'!$A$34,N178)),MAX($M$2:M177)+1,0)</f>
        <v>176</v>
      </c>
      <c r="Y178" s="287" t="s">
        <v>1425</v>
      </c>
      <c r="Z178" t="str">
        <f>IFERROR(VLOOKUP(ROWS($Z$3:Z178),$X$3:$Y$718,2,0),"")</f>
        <v>Výroba skla a skleněných výrobků</v>
      </c>
    </row>
    <row r="179" spans="1:26" ht="12.75" customHeight="1">
      <c r="A179" s="263"/>
      <c r="B179" s="263"/>
      <c r="C179" s="263"/>
      <c r="D179" s="279">
        <f>IF(ISNUMBER(SEARCH(ZAKL_DATA!$B$14,E179)),MAX($D$2:D178)+1,0)</f>
        <v>177</v>
      </c>
      <c r="E179" s="291" t="s">
        <v>1426</v>
      </c>
      <c r="F179" s="292">
        <v>3206</v>
      </c>
      <c r="G179" s="293"/>
      <c r="H179" s="294" t="str">
        <f>IFERROR(VLOOKUP(ROWS($H$3:H179),$D$3:$E$204,2,0),"")</f>
        <v>ČESKÝ TĚŠÍN</v>
      </c>
      <c r="I179" s="263"/>
      <c r="J179" s="296" t="s">
        <v>1427</v>
      </c>
      <c r="K179" s="285" t="s">
        <v>1428</v>
      </c>
      <c r="M179" s="286">
        <f>IF(ISNUMBER(SEARCH(ZAKL_DATA!$B$29,N179)),MAX($M$2:M178)+1,0)</f>
        <v>177</v>
      </c>
      <c r="N179" s="791" t="s">
        <v>3403</v>
      </c>
      <c r="O179" s="791" t="s">
        <v>3404</v>
      </c>
      <c r="Q179" s="288" t="str">
        <f>IFERROR(VLOOKUP(ROWS($Q$3:Q179),$M$3:$N$718,2,0),"")</f>
        <v>Odlévání legovaných ocelí</v>
      </c>
      <c r="R179">
        <f>IF(ISNUMBER(SEARCH('1Př1'!$A$32,N179)),MAX($M$2:M178)+1,0)</f>
        <v>177</v>
      </c>
      <c r="S179" s="287" t="s">
        <v>1429</v>
      </c>
      <c r="T179" t="str">
        <f>IFERROR(VLOOKUP(ROWS($T$3:T179),$R$3:$S$718,2,0),"")</f>
        <v>Výroba žáruvzdorných výrobků</v>
      </c>
      <c r="U179">
        <f>IF(ISNUMBER(SEARCH('1Př1'!$A$33,N179)),MAX($M$2:M178)+1,0)</f>
        <v>177</v>
      </c>
      <c r="V179" s="287" t="s">
        <v>1429</v>
      </c>
      <c r="W179" t="str">
        <f>IFERROR(VLOOKUP(ROWS($W$3:W179),$U$3:$V$718,2,0),"")</f>
        <v>Výroba žáruvzdorných výrobků</v>
      </c>
      <c r="X179">
        <f>IF(ISNUMBER(SEARCH('1Př1'!$A$34,N179)),MAX($M$2:M178)+1,0)</f>
        <v>177</v>
      </c>
      <c r="Y179" s="287" t="s">
        <v>1429</v>
      </c>
      <c r="Z179" t="str">
        <f>IFERROR(VLOOKUP(ROWS($Z$3:Z179),$X$3:$Y$718,2,0),"")</f>
        <v>Výroba žáruvzdorných výrobků</v>
      </c>
    </row>
    <row r="180" spans="1:26" ht="12.75" customHeight="1">
      <c r="A180" s="263"/>
      <c r="B180" s="263"/>
      <c r="C180" s="263"/>
      <c r="D180" s="279">
        <f>IF(ISNUMBER(SEARCH(ZAKL_DATA!$B$14,E180)),MAX($D$2:D179)+1,0)</f>
        <v>178</v>
      </c>
      <c r="E180" s="291" t="s">
        <v>1430</v>
      </c>
      <c r="F180" s="292">
        <v>3207</v>
      </c>
      <c r="G180" s="293"/>
      <c r="H180" s="294" t="str">
        <f>IFERROR(VLOOKUP(ROWS($H$3:H180),$D$3:$E$204,2,0),"")</f>
        <v>FRÝDEK-MÍSTEK</v>
      </c>
      <c r="I180" s="263"/>
      <c r="J180" s="296" t="s">
        <v>1431</v>
      </c>
      <c r="K180" s="285" t="s">
        <v>1432</v>
      </c>
      <c r="M180" s="286">
        <f>IF(ISNUMBER(SEARCH(ZAKL_DATA!$B$29,N180)),MAX($M$2:M179)+1,0)</f>
        <v>178</v>
      </c>
      <c r="N180" s="791" t="s">
        <v>3405</v>
      </c>
      <c r="O180" s="791" t="s">
        <v>3406</v>
      </c>
      <c r="Q180" s="288" t="str">
        <f>IFERROR(VLOOKUP(ROWS($Q$3:Q180),$M$3:$N$718,2,0),"")</f>
        <v>Odlévání lehkých kovů</v>
      </c>
      <c r="R180">
        <f>IF(ISNUMBER(SEARCH('1Př1'!$A$32,N180)),MAX($M$2:M179)+1,0)</f>
        <v>178</v>
      </c>
      <c r="S180" s="287" t="s">
        <v>1433</v>
      </c>
      <c r="T180" t="str">
        <f>IFERROR(VLOOKUP(ROWS($T$3:T180),$R$3:$S$718,2,0),"")</f>
        <v>Výroba stavebních výrobků z jílovitých materiálů</v>
      </c>
      <c r="U180">
        <f>IF(ISNUMBER(SEARCH('1Př1'!$A$33,N180)),MAX($M$2:M179)+1,0)</f>
        <v>178</v>
      </c>
      <c r="V180" s="287" t="s">
        <v>1433</v>
      </c>
      <c r="W180" t="str">
        <f>IFERROR(VLOOKUP(ROWS($W$3:W180),$U$3:$V$718,2,0),"")</f>
        <v>Výroba stavebních výrobků z jílovitých materiálů</v>
      </c>
      <c r="X180">
        <f>IF(ISNUMBER(SEARCH('1Př1'!$A$34,N180)),MAX($M$2:M179)+1,0)</f>
        <v>178</v>
      </c>
      <c r="Y180" s="287" t="s">
        <v>1433</v>
      </c>
      <c r="Z180" t="str">
        <f>IFERROR(VLOOKUP(ROWS($Z$3:Z180),$X$3:$Y$718,2,0),"")</f>
        <v>Výroba stavebních výrobků z jílovitých materiálů</v>
      </c>
    </row>
    <row r="181" spans="1:26" ht="12.75" customHeight="1">
      <c r="A181" s="263"/>
      <c r="B181" s="263"/>
      <c r="C181" s="263"/>
      <c r="D181" s="279">
        <f>IF(ISNUMBER(SEARCH(ZAKL_DATA!$B$14,E181)),MAX($D$2:D180)+1,0)</f>
        <v>179</v>
      </c>
      <c r="E181" s="291" t="s">
        <v>1434</v>
      </c>
      <c r="F181" s="292">
        <v>3208</v>
      </c>
      <c r="G181" s="293"/>
      <c r="H181" s="294" t="str">
        <f>IFERROR(VLOOKUP(ROWS($H$3:H181),$D$3:$E$204,2,0),"")</f>
        <v>FRÝDLANT NAD OSTRAV.</v>
      </c>
      <c r="I181" s="263"/>
      <c r="J181" s="296" t="s">
        <v>1435</v>
      </c>
      <c r="K181" s="285" t="s">
        <v>1436</v>
      </c>
      <c r="M181" s="286">
        <f>IF(ISNUMBER(SEARCH(ZAKL_DATA!$B$29,N181)),MAX($M$2:M180)+1,0)</f>
        <v>179</v>
      </c>
      <c r="N181" s="791" t="s">
        <v>3407</v>
      </c>
      <c r="O181" s="791" t="s">
        <v>3408</v>
      </c>
      <c r="Q181" s="288" t="str">
        <f>IFERROR(VLOOKUP(ROWS($Q$3:Q181),$M$3:$N$718,2,0),"")</f>
        <v>Odlévání litiny s kuličkovým grafitem</v>
      </c>
      <c r="R181">
        <f>IF(ISNUMBER(SEARCH('1Př1'!$A$32,N181)),MAX($M$2:M180)+1,0)</f>
        <v>179</v>
      </c>
      <c r="S181" s="287" t="s">
        <v>1437</v>
      </c>
      <c r="T181" t="str">
        <f>IFERROR(VLOOKUP(ROWS($T$3:T181),$R$3:$S$718,2,0),"")</f>
        <v>Výroba ostatních porcelánových a keramických výrobků</v>
      </c>
      <c r="U181">
        <f>IF(ISNUMBER(SEARCH('1Př1'!$A$33,N181)),MAX($M$2:M180)+1,0)</f>
        <v>179</v>
      </c>
      <c r="V181" s="287" t="s">
        <v>1437</v>
      </c>
      <c r="W181" t="str">
        <f>IFERROR(VLOOKUP(ROWS($W$3:W181),$U$3:$V$718,2,0),"")</f>
        <v>Výroba ostatních porcelánových a keramických výrobků</v>
      </c>
      <c r="X181">
        <f>IF(ISNUMBER(SEARCH('1Př1'!$A$34,N181)),MAX($M$2:M180)+1,0)</f>
        <v>179</v>
      </c>
      <c r="Y181" s="287" t="s">
        <v>1437</v>
      </c>
      <c r="Z181" t="str">
        <f>IFERROR(VLOOKUP(ROWS($Z$3:Z181),$X$3:$Y$718,2,0),"")</f>
        <v>Výroba ostatních porcelánových a keramických výrobků</v>
      </c>
    </row>
    <row r="182" spans="1:26" ht="12.75" customHeight="1">
      <c r="A182" s="263"/>
      <c r="B182" s="263"/>
      <c r="C182" s="263"/>
      <c r="D182" s="279">
        <f>IF(ISNUMBER(SEARCH(ZAKL_DATA!$B$14,E182)),MAX($D$2:D181)+1,0)</f>
        <v>180</v>
      </c>
      <c r="E182" s="291" t="s">
        <v>1438</v>
      </c>
      <c r="F182" s="292">
        <v>3209</v>
      </c>
      <c r="G182" s="293"/>
      <c r="H182" s="294" t="str">
        <f>IFERROR(VLOOKUP(ROWS($H$3:H182),$D$3:$E$204,2,0),"")</f>
        <v>FULNEK</v>
      </c>
      <c r="I182" s="263"/>
      <c r="J182" s="296" t="s">
        <v>1439</v>
      </c>
      <c r="K182" s="285" t="s">
        <v>1440</v>
      </c>
      <c r="M182" s="286">
        <f>IF(ISNUMBER(SEARCH(ZAKL_DATA!$B$29,N182)),MAX($M$2:M181)+1,0)</f>
        <v>180</v>
      </c>
      <c r="N182" s="791" t="s">
        <v>3409</v>
      </c>
      <c r="O182" s="791" t="s">
        <v>3410</v>
      </c>
      <c r="Q182" s="288" t="str">
        <f>IFERROR(VLOOKUP(ROWS($Q$3:Q182),$M$3:$N$718,2,0),"")</f>
        <v>Odlévání litiny s lupínkovým grafitem</v>
      </c>
      <c r="R182">
        <f>IF(ISNUMBER(SEARCH('1Př1'!$A$32,N182)),MAX($M$2:M181)+1,0)</f>
        <v>180</v>
      </c>
      <c r="S182" s="287" t="s">
        <v>1441</v>
      </c>
      <c r="T182" t="str">
        <f>IFERROR(VLOOKUP(ROWS($T$3:T182),$R$3:$S$718,2,0),"")</f>
        <v>Výroba cementu, vápna a sádry</v>
      </c>
      <c r="U182">
        <f>IF(ISNUMBER(SEARCH('1Př1'!$A$33,N182)),MAX($M$2:M181)+1,0)</f>
        <v>180</v>
      </c>
      <c r="V182" s="287" t="s">
        <v>1441</v>
      </c>
      <c r="W182" t="str">
        <f>IFERROR(VLOOKUP(ROWS($W$3:W182),$U$3:$V$718,2,0),"")</f>
        <v>Výroba cementu, vápna a sádry</v>
      </c>
      <c r="X182">
        <f>IF(ISNUMBER(SEARCH('1Př1'!$A$34,N182)),MAX($M$2:M181)+1,0)</f>
        <v>180</v>
      </c>
      <c r="Y182" s="287" t="s">
        <v>1441</v>
      </c>
      <c r="Z182" t="str">
        <f>IFERROR(VLOOKUP(ROWS($Z$3:Z182),$X$3:$Y$718,2,0),"")</f>
        <v>Výroba cementu, vápna a sádry</v>
      </c>
    </row>
    <row r="183" spans="1:26" ht="12.75" customHeight="1">
      <c r="A183" s="263"/>
      <c r="B183" s="263"/>
      <c r="C183" s="263"/>
      <c r="D183" s="279">
        <f>IF(ISNUMBER(SEARCH(ZAKL_DATA!$B$14,E183)),MAX($D$2:D182)+1,0)</f>
        <v>181</v>
      </c>
      <c r="E183" s="291" t="s">
        <v>1442</v>
      </c>
      <c r="F183" s="292">
        <v>3210</v>
      </c>
      <c r="G183" s="293"/>
      <c r="H183" s="294" t="str">
        <f>IFERROR(VLOOKUP(ROWS($H$3:H183),$D$3:$E$204,2,0),"")</f>
        <v>HAVÍŘOV</v>
      </c>
      <c r="I183" s="263"/>
      <c r="J183" s="296" t="s">
        <v>1443</v>
      </c>
      <c r="K183" s="285" t="s">
        <v>1444</v>
      </c>
      <c r="M183" s="286">
        <f>IF(ISNUMBER(SEARCH(ZAKL_DATA!$B$29,N183)),MAX($M$2:M182)+1,0)</f>
        <v>181</v>
      </c>
      <c r="N183" s="791" t="s">
        <v>3411</v>
      </c>
      <c r="O183" s="791" t="s">
        <v>3412</v>
      </c>
      <c r="Q183" s="288" t="str">
        <f>IFERROR(VLOOKUP(ROWS($Q$3:Q183),$M$3:$N$718,2,0),"")</f>
        <v>Odlévání ostatní litiny</v>
      </c>
      <c r="R183">
        <f>IF(ISNUMBER(SEARCH('1Př1'!$A$32,N183)),MAX($M$2:M182)+1,0)</f>
        <v>181</v>
      </c>
      <c r="S183" s="287" t="s">
        <v>1445</v>
      </c>
      <c r="T183" t="str">
        <f>IFERROR(VLOOKUP(ROWS($T$3:T183),$R$3:$S$718,2,0),"")</f>
        <v>Výroba betonových, cementových a sádrových výrobků</v>
      </c>
      <c r="U183">
        <f>IF(ISNUMBER(SEARCH('1Př1'!$A$33,N183)),MAX($M$2:M182)+1,0)</f>
        <v>181</v>
      </c>
      <c r="V183" s="287" t="s">
        <v>1445</v>
      </c>
      <c r="W183" t="str">
        <f>IFERROR(VLOOKUP(ROWS($W$3:W183),$U$3:$V$718,2,0),"")</f>
        <v>Výroba betonových, cementových a sádrových výrobků</v>
      </c>
      <c r="X183">
        <f>IF(ISNUMBER(SEARCH('1Př1'!$A$34,N183)),MAX($M$2:M182)+1,0)</f>
        <v>181</v>
      </c>
      <c r="Y183" s="287" t="s">
        <v>1445</v>
      </c>
      <c r="Z183" t="str">
        <f>IFERROR(VLOOKUP(ROWS($Z$3:Z183),$X$3:$Y$718,2,0),"")</f>
        <v>Výroba betonových, cementových a sádrových výrobků</v>
      </c>
    </row>
    <row r="184" spans="1:26" ht="12.75" customHeight="1">
      <c r="A184" s="263"/>
      <c r="B184" s="263"/>
      <c r="C184" s="263"/>
      <c r="D184" s="279">
        <f>IF(ISNUMBER(SEARCH(ZAKL_DATA!$B$14,E184)),MAX($D$2:D183)+1,0)</f>
        <v>182</v>
      </c>
      <c r="E184" s="291" t="s">
        <v>1446</v>
      </c>
      <c r="F184" s="292">
        <v>3211</v>
      </c>
      <c r="G184" s="293"/>
      <c r="H184" s="294" t="str">
        <f>IFERROR(VLOOKUP(ROWS($H$3:H184),$D$3:$E$204,2,0),"")</f>
        <v>HLUČÍN</v>
      </c>
      <c r="I184" s="263"/>
      <c r="J184" s="296" t="s">
        <v>1447</v>
      </c>
      <c r="K184" s="285" t="s">
        <v>1448</v>
      </c>
      <c r="M184" s="286">
        <f>IF(ISNUMBER(SEARCH(ZAKL_DATA!$B$29,N184)),MAX($M$2:M183)+1,0)</f>
        <v>182</v>
      </c>
      <c r="N184" s="791" t="s">
        <v>3413</v>
      </c>
      <c r="O184" s="791" t="s">
        <v>3414</v>
      </c>
      <c r="Q184" s="288" t="str">
        <f>IFERROR(VLOOKUP(ROWS($Q$3:Q184),$M$3:$N$718,2,0),"")</f>
        <v>Odlévání ostatních neželezných kovů</v>
      </c>
      <c r="R184">
        <f>IF(ISNUMBER(SEARCH('1Př1'!$A$32,N184)),MAX($M$2:M183)+1,0)</f>
        <v>182</v>
      </c>
      <c r="S184" s="287" t="s">
        <v>1449</v>
      </c>
      <c r="T184" t="str">
        <f>IFERROR(VLOOKUP(ROWS($T$3:T184),$R$3:$S$718,2,0),"")</f>
        <v>Řezání, tvarování a konečná úprava kamenů</v>
      </c>
      <c r="U184">
        <f>IF(ISNUMBER(SEARCH('1Př1'!$A$33,N184)),MAX($M$2:M183)+1,0)</f>
        <v>182</v>
      </c>
      <c r="V184" s="287" t="s">
        <v>1449</v>
      </c>
      <c r="W184" t="str">
        <f>IFERROR(VLOOKUP(ROWS($W$3:W184),$U$3:$V$718,2,0),"")</f>
        <v>Řezání, tvarování a konečná úprava kamenů</v>
      </c>
      <c r="X184">
        <f>IF(ISNUMBER(SEARCH('1Př1'!$A$34,N184)),MAX($M$2:M183)+1,0)</f>
        <v>182</v>
      </c>
      <c r="Y184" s="287" t="s">
        <v>1449</v>
      </c>
      <c r="Z184" t="str">
        <f>IFERROR(VLOOKUP(ROWS($Z$3:Z184),$X$3:$Y$718,2,0),"")</f>
        <v>Řezání, tvarování a konečná úprava kamenů</v>
      </c>
    </row>
    <row r="185" spans="1:26" ht="12.75" customHeight="1">
      <c r="A185" s="263"/>
      <c r="B185" s="263"/>
      <c r="C185" s="263"/>
      <c r="D185" s="279">
        <f>IF(ISNUMBER(SEARCH(ZAKL_DATA!$B$14,E185)),MAX($D$2:D184)+1,0)</f>
        <v>183</v>
      </c>
      <c r="E185" s="291" t="s">
        <v>1450</v>
      </c>
      <c r="F185" s="292">
        <v>3212</v>
      </c>
      <c r="G185" s="293"/>
      <c r="H185" s="294" t="str">
        <f>IFERROR(VLOOKUP(ROWS($H$3:H185),$D$3:$E$204,2,0),"")</f>
        <v>KARVINÁ</v>
      </c>
      <c r="I185" s="263"/>
      <c r="J185" s="296" t="s">
        <v>1451</v>
      </c>
      <c r="K185" s="285" t="s">
        <v>1452</v>
      </c>
      <c r="M185" s="286">
        <f>IF(ISNUMBER(SEARCH(ZAKL_DATA!$B$29,N185)),MAX($M$2:M184)+1,0)</f>
        <v>183</v>
      </c>
      <c r="N185" s="791" t="s">
        <v>3415</v>
      </c>
      <c r="O185" s="791" t="s">
        <v>3416</v>
      </c>
      <c r="Q185" s="288" t="str">
        <f>IFERROR(VLOOKUP(ROWS($Q$3:Q185),$M$3:$N$718,2,0),"")</f>
        <v>Odlévání uhlíkatých ocelí</v>
      </c>
      <c r="R185">
        <f>IF(ISNUMBER(SEARCH('1Př1'!$A$32,N185)),MAX($M$2:M184)+1,0)</f>
        <v>183</v>
      </c>
      <c r="S185" s="287" t="s">
        <v>1453</v>
      </c>
      <c r="T185" t="str">
        <f>IFERROR(VLOOKUP(ROWS($T$3:T185),$R$3:$S$718,2,0),"")</f>
        <v>Výroba brusiv a ostatních nekovových minerálních výrobků j. n.</v>
      </c>
      <c r="U185">
        <f>IF(ISNUMBER(SEARCH('1Př1'!$A$33,N185)),MAX($M$2:M184)+1,0)</f>
        <v>183</v>
      </c>
      <c r="V185" s="287" t="s">
        <v>1453</v>
      </c>
      <c r="W185" t="str">
        <f>IFERROR(VLOOKUP(ROWS($W$3:W185),$U$3:$V$718,2,0),"")</f>
        <v>Výroba brusiv a ostatních nekovových minerálních výrobků j. n.</v>
      </c>
      <c r="X185">
        <f>IF(ISNUMBER(SEARCH('1Př1'!$A$34,N185)),MAX($M$2:M184)+1,0)</f>
        <v>183</v>
      </c>
      <c r="Y185" s="287" t="s">
        <v>1453</v>
      </c>
      <c r="Z185" t="str">
        <f>IFERROR(VLOOKUP(ROWS($Z$3:Z185),$X$3:$Y$718,2,0),"")</f>
        <v>Výroba brusiv a ostatních nekovových minerálních výrobků j. n.</v>
      </c>
    </row>
    <row r="186" spans="1:26" ht="12.75" customHeight="1">
      <c r="A186" s="263"/>
      <c r="B186" s="263"/>
      <c r="C186" s="263"/>
      <c r="D186" s="279">
        <f>IF(ISNUMBER(SEARCH(ZAKL_DATA!$B$14,E186)),MAX($D$2:D185)+1,0)</f>
        <v>184</v>
      </c>
      <c r="E186" s="291" t="s">
        <v>1454</v>
      </c>
      <c r="F186" s="292">
        <v>3213</v>
      </c>
      <c r="G186" s="293"/>
      <c r="H186" s="294" t="str">
        <f>IFERROR(VLOOKUP(ROWS($H$3:H186),$D$3:$E$204,2,0),"")</f>
        <v>KOPŘIVNICE</v>
      </c>
      <c r="I186" s="263"/>
      <c r="J186" s="296" t="s">
        <v>1455</v>
      </c>
      <c r="K186" s="285" t="s">
        <v>1456</v>
      </c>
      <c r="M186" s="286">
        <f>IF(ISNUMBER(SEARCH(ZAKL_DATA!$B$29,N186)),MAX($M$2:M185)+1,0)</f>
        <v>184</v>
      </c>
      <c r="N186" s="791" t="s">
        <v>2029</v>
      </c>
      <c r="O186" s="791" t="s">
        <v>3417</v>
      </c>
      <c r="Q186" s="288" t="str">
        <f>IFERROR(VLOOKUP(ROWS($Q$3:Q186),$M$3:$N$718,2,0),"")</f>
        <v>Omítkářské práce</v>
      </c>
      <c r="R186">
        <f>IF(ISNUMBER(SEARCH('1Př1'!$A$32,N186)),MAX($M$2:M185)+1,0)</f>
        <v>184</v>
      </c>
      <c r="S186" s="287" t="s">
        <v>1457</v>
      </c>
      <c r="T186" t="str">
        <f>IFERROR(VLOOKUP(ROWS($T$3:T186),$R$3:$S$718,2,0),"")</f>
        <v>Výroba sur.železa,oceli a feroslitin,ploch.výr.,tváření výrobků za tepla</v>
      </c>
      <c r="U186">
        <f>IF(ISNUMBER(SEARCH('1Př1'!$A$33,N186)),MAX($M$2:M185)+1,0)</f>
        <v>184</v>
      </c>
      <c r="V186" s="287" t="s">
        <v>1457</v>
      </c>
      <c r="W186" t="str">
        <f>IFERROR(VLOOKUP(ROWS($W$3:W186),$U$3:$V$718,2,0),"")</f>
        <v>Výroba sur.železa,oceli a feroslitin,ploch.výr.,tváření výrobků za tepla</v>
      </c>
      <c r="X186">
        <f>IF(ISNUMBER(SEARCH('1Př1'!$A$34,N186)),MAX($M$2:M185)+1,0)</f>
        <v>184</v>
      </c>
      <c r="Y186" s="287" t="s">
        <v>1457</v>
      </c>
      <c r="Z186" t="str">
        <f>IFERROR(VLOOKUP(ROWS($Z$3:Z186),$X$3:$Y$718,2,0),"")</f>
        <v>Výroba sur.železa,oceli a feroslitin,ploch.výr.,tváření výrobků za tepla</v>
      </c>
    </row>
    <row r="187" spans="1:26" ht="12.75" customHeight="1">
      <c r="A187" s="263"/>
      <c r="B187" s="263"/>
      <c r="C187" s="263"/>
      <c r="D187" s="279">
        <f>IF(ISNUMBER(SEARCH(ZAKL_DATA!$B$14,E187)),MAX($D$2:D186)+1,0)</f>
        <v>185</v>
      </c>
      <c r="E187" s="291" t="s">
        <v>1458</v>
      </c>
      <c r="F187" s="292">
        <v>3214</v>
      </c>
      <c r="G187" s="293"/>
      <c r="H187" s="294" t="str">
        <f>IFERROR(VLOOKUP(ROWS($H$3:H187),$D$3:$E$204,2,0),"")</f>
        <v>KRNOV</v>
      </c>
      <c r="I187" s="263"/>
      <c r="J187" s="296" t="s">
        <v>1459</v>
      </c>
      <c r="K187" s="285" t="s">
        <v>1460</v>
      </c>
      <c r="M187" s="286">
        <f>IF(ISNUMBER(SEARCH(ZAKL_DATA!$B$29,N187)),MAX($M$2:M186)+1,0)</f>
        <v>185</v>
      </c>
      <c r="N187" s="791" t="s">
        <v>3418</v>
      </c>
      <c r="O187" s="791" t="s">
        <v>3419</v>
      </c>
      <c r="Q187" s="288" t="str">
        <f>IFERROR(VLOOKUP(ROWS($Q$3:Q187),$M$3:$N$718,2,0),"")</f>
        <v>Opravy a údržba civilních letadel a kosmických lodí</v>
      </c>
      <c r="R187">
        <f>IF(ISNUMBER(SEARCH('1Př1'!$A$32,N187)),MAX($M$2:M186)+1,0)</f>
        <v>185</v>
      </c>
      <c r="S187" s="287" t="s">
        <v>1461</v>
      </c>
      <c r="T187" t="str">
        <f>IFERROR(VLOOKUP(ROWS($T$3:T187),$R$3:$S$718,2,0),"")</f>
        <v>Výroba ocelových trub,trubek,dutých profilů a souvis.potrubních tvarovek</v>
      </c>
      <c r="U187">
        <f>IF(ISNUMBER(SEARCH('1Př1'!$A$33,N187)),MAX($M$2:M186)+1,0)</f>
        <v>185</v>
      </c>
      <c r="V187" s="287" t="s">
        <v>1461</v>
      </c>
      <c r="W187" t="str">
        <f>IFERROR(VLOOKUP(ROWS($W$3:W187),$U$3:$V$718,2,0),"")</f>
        <v>Výroba ocelových trub,trubek,dutých profilů a souvis.potrubních tvarovek</v>
      </c>
      <c r="X187">
        <f>IF(ISNUMBER(SEARCH('1Př1'!$A$34,N187)),MAX($M$2:M186)+1,0)</f>
        <v>185</v>
      </c>
      <c r="Y187" s="287" t="s">
        <v>1461</v>
      </c>
      <c r="Z187" t="str">
        <f>IFERROR(VLOOKUP(ROWS($Z$3:Z187),$X$3:$Y$718,2,0),"")</f>
        <v>Výroba ocelových trub,trubek,dutých profilů a souvis.potrubních tvarovek</v>
      </c>
    </row>
    <row r="188" spans="1:26" ht="12.75" customHeight="1">
      <c r="A188" s="263"/>
      <c r="B188" s="263"/>
      <c r="C188" s="263"/>
      <c r="D188" s="279">
        <f>IF(ISNUMBER(SEARCH(ZAKL_DATA!$B$14,E188)),MAX($D$2:D187)+1,0)</f>
        <v>186</v>
      </c>
      <c r="E188" s="291" t="s">
        <v>1462</v>
      </c>
      <c r="F188" s="292">
        <v>3215</v>
      </c>
      <c r="G188" s="293"/>
      <c r="H188" s="294" t="str">
        <f>IFERROR(VLOOKUP(ROWS($H$3:H188),$D$3:$E$204,2,0),"")</f>
        <v>NOVÝ JIČÍN</v>
      </c>
      <c r="I188" s="263"/>
      <c r="J188" s="296" t="s">
        <v>1463</v>
      </c>
      <c r="K188" s="285" t="s">
        <v>1464</v>
      </c>
      <c r="M188" s="286">
        <f>IF(ISNUMBER(SEARCH(ZAKL_DATA!$B$29,N188)),MAX($M$2:M187)+1,0)</f>
        <v>186</v>
      </c>
      <c r="N188" s="791" t="s">
        <v>3420</v>
      </c>
      <c r="O188" s="791" t="s">
        <v>3421</v>
      </c>
      <c r="Q188" s="288" t="str">
        <f>IFERROR(VLOOKUP(ROWS($Q$3:Q188),$M$3:$N$718,2,0),"")</f>
        <v>Opravy a údržba civilních lodí a člunů</v>
      </c>
      <c r="R188">
        <f>IF(ISNUMBER(SEARCH('1Př1'!$A$32,N188)),MAX($M$2:M187)+1,0)</f>
        <v>186</v>
      </c>
      <c r="S188" s="287" t="s">
        <v>1465</v>
      </c>
      <c r="T188" t="str">
        <f>IFERROR(VLOOKUP(ROWS($T$3:T188),$R$3:$S$718,2,0),"")</f>
        <v>Výroba ostatních výrobků získaných jednostupňovým zpracováním oceli</v>
      </c>
      <c r="U188">
        <f>IF(ISNUMBER(SEARCH('1Př1'!$A$33,N188)),MAX($M$2:M187)+1,0)</f>
        <v>186</v>
      </c>
      <c r="V188" s="287" t="s">
        <v>1465</v>
      </c>
      <c r="W188" t="str">
        <f>IFERROR(VLOOKUP(ROWS($W$3:W188),$U$3:$V$718,2,0),"")</f>
        <v>Výroba ostatních výrobků získaných jednostupňovým zpracováním oceli</v>
      </c>
      <c r="X188">
        <f>IF(ISNUMBER(SEARCH('1Př1'!$A$34,N188)),MAX($M$2:M187)+1,0)</f>
        <v>186</v>
      </c>
      <c r="Y188" s="287" t="s">
        <v>1465</v>
      </c>
      <c r="Z188" t="str">
        <f>IFERROR(VLOOKUP(ROWS($Z$3:Z188),$X$3:$Y$718,2,0),"")</f>
        <v>Výroba ostatních výrobků získaných jednostupňovým zpracováním oceli</v>
      </c>
    </row>
    <row r="189" spans="1:26" ht="12.75" customHeight="1">
      <c r="A189" s="263"/>
      <c r="B189" s="263"/>
      <c r="C189" s="263"/>
      <c r="D189" s="279">
        <f>IF(ISNUMBER(SEARCH(ZAKL_DATA!$B$14,E189)),MAX($D$2:D188)+1,0)</f>
        <v>187</v>
      </c>
      <c r="E189" s="291" t="s">
        <v>1466</v>
      </c>
      <c r="F189" s="292">
        <v>3216</v>
      </c>
      <c r="G189" s="293"/>
      <c r="H189" s="294" t="str">
        <f>IFERROR(VLOOKUP(ROWS($H$3:H189),$D$3:$E$204,2,0),"")</f>
        <v>OPAVA</v>
      </c>
      <c r="I189" s="263"/>
      <c r="J189" s="296" t="s">
        <v>1467</v>
      </c>
      <c r="K189" s="285" t="s">
        <v>1468</v>
      </c>
      <c r="M189" s="286">
        <f>IF(ISNUMBER(SEARCH(ZAKL_DATA!$B$29,N189)),MAX($M$2:M188)+1,0)</f>
        <v>187</v>
      </c>
      <c r="N189" s="791" t="s">
        <v>3422</v>
      </c>
      <c r="O189" s="791" t="s">
        <v>3423</v>
      </c>
      <c r="Q189" s="288" t="str">
        <f>IFERROR(VLOOKUP(ROWS($Q$3:Q189),$M$3:$N$718,2,0),"")</f>
        <v>Opravy a údržba elektrických zařízení</v>
      </c>
      <c r="R189">
        <f>IF(ISNUMBER(SEARCH('1Př1'!$A$32,N189)),MAX($M$2:M188)+1,0)</f>
        <v>187</v>
      </c>
      <c r="S189" s="287" t="s">
        <v>1469</v>
      </c>
      <c r="T189" t="str">
        <f>IFERROR(VLOOKUP(ROWS($T$3:T189),$R$3:$S$718,2,0),"")</f>
        <v>Výroba a hutní zpracování drahých a neželezných kovů</v>
      </c>
      <c r="U189">
        <f>IF(ISNUMBER(SEARCH('1Př1'!$A$33,N189)),MAX($M$2:M188)+1,0)</f>
        <v>187</v>
      </c>
      <c r="V189" s="287" t="s">
        <v>1469</v>
      </c>
      <c r="W189" t="str">
        <f>IFERROR(VLOOKUP(ROWS($W$3:W189),$U$3:$V$718,2,0),"")</f>
        <v>Výroba a hutní zpracování drahých a neželezných kovů</v>
      </c>
      <c r="X189">
        <f>IF(ISNUMBER(SEARCH('1Př1'!$A$34,N189)),MAX($M$2:M188)+1,0)</f>
        <v>187</v>
      </c>
      <c r="Y189" s="287" t="s">
        <v>1469</v>
      </c>
      <c r="Z189" t="str">
        <f>IFERROR(VLOOKUP(ROWS($Z$3:Z189),$X$3:$Y$718,2,0),"")</f>
        <v>Výroba a hutní zpracování drahých a neželezných kovů</v>
      </c>
    </row>
    <row r="190" spans="1:26" ht="12.75" customHeight="1">
      <c r="A190" s="263"/>
      <c r="B190" s="263"/>
      <c r="C190" s="263"/>
      <c r="D190" s="279">
        <f>IF(ISNUMBER(SEARCH(ZAKL_DATA!$B$14,E190)),MAX($D$2:D189)+1,0)</f>
        <v>188</v>
      </c>
      <c r="E190" s="291" t="s">
        <v>1470</v>
      </c>
      <c r="F190" s="292">
        <v>3217</v>
      </c>
      <c r="G190" s="293"/>
      <c r="H190" s="294" t="str">
        <f>IFERROR(VLOOKUP(ROWS($H$3:H190),$D$3:$E$204,2,0),"")</f>
        <v>ORLOVÁ</v>
      </c>
      <c r="I190" s="263"/>
      <c r="J190" s="296" t="s">
        <v>1471</v>
      </c>
      <c r="K190" s="285" t="s">
        <v>1472</v>
      </c>
      <c r="M190" s="286">
        <f>IF(ISNUMBER(SEARCH(ZAKL_DATA!$B$29,N190)),MAX($M$2:M189)+1,0)</f>
        <v>188</v>
      </c>
      <c r="N190" s="791" t="s">
        <v>3424</v>
      </c>
      <c r="O190" s="791" t="s">
        <v>3425</v>
      </c>
      <c r="Q190" s="288" t="str">
        <f>IFERROR(VLOOKUP(ROWS($Q$3:Q190),$M$3:$N$718,2,0),"")</f>
        <v>Opravy a údržba elektronických a optických přístrojů a zařízení</v>
      </c>
      <c r="R190">
        <f>IF(ISNUMBER(SEARCH('1Př1'!$A$32,N190)),MAX($M$2:M189)+1,0)</f>
        <v>188</v>
      </c>
      <c r="S190" s="287" t="s">
        <v>1473</v>
      </c>
      <c r="T190" t="str">
        <f>IFERROR(VLOOKUP(ROWS($T$3:T190),$R$3:$S$718,2,0),"")</f>
        <v>Slévárenství</v>
      </c>
      <c r="U190">
        <f>IF(ISNUMBER(SEARCH('1Př1'!$A$33,N190)),MAX($M$2:M189)+1,0)</f>
        <v>188</v>
      </c>
      <c r="V190" s="287" t="s">
        <v>1473</v>
      </c>
      <c r="W190" t="str">
        <f>IFERROR(VLOOKUP(ROWS($W$3:W190),$U$3:$V$718,2,0),"")</f>
        <v>Slévárenství</v>
      </c>
      <c r="X190">
        <f>IF(ISNUMBER(SEARCH('1Př1'!$A$34,N190)),MAX($M$2:M189)+1,0)</f>
        <v>188</v>
      </c>
      <c r="Y190" s="287" t="s">
        <v>1473</v>
      </c>
      <c r="Z190" t="str">
        <f>IFERROR(VLOOKUP(ROWS($Z$3:Z190),$X$3:$Y$718,2,0),"")</f>
        <v>Slévárenství</v>
      </c>
    </row>
    <row r="191" spans="1:26" ht="12.75" customHeight="1">
      <c r="A191" s="263"/>
      <c r="B191" s="263"/>
      <c r="C191" s="263"/>
      <c r="D191" s="279">
        <f>IF(ISNUMBER(SEARCH(ZAKL_DATA!$B$14,E191)),MAX($D$2:D190)+1,0)</f>
        <v>189</v>
      </c>
      <c r="E191" s="291" t="s">
        <v>1474</v>
      </c>
      <c r="F191" s="292">
        <v>3218</v>
      </c>
      <c r="G191" s="293"/>
      <c r="H191" s="294" t="str">
        <f>IFERROR(VLOOKUP(ROWS($H$3:H191),$D$3:$E$204,2,0),"")</f>
        <v>TŘINEC</v>
      </c>
      <c r="I191" s="263"/>
      <c r="J191" s="296" t="s">
        <v>1475</v>
      </c>
      <c r="K191" s="285" t="s">
        <v>1476</v>
      </c>
      <c r="M191" s="286">
        <f>IF(ISNUMBER(SEARCH(ZAKL_DATA!$B$29,N191)),MAX($M$2:M190)+1,0)</f>
        <v>189</v>
      </c>
      <c r="N191" s="791" t="s">
        <v>3426</v>
      </c>
      <c r="O191" s="791" t="s">
        <v>3427</v>
      </c>
      <c r="Q191" s="288" t="str">
        <f>IFERROR(VLOOKUP(ROWS($Q$3:Q191),$M$3:$N$718,2,0),"")</f>
        <v>Opravy a údržba hodin, hodinek a klenotů</v>
      </c>
      <c r="R191">
        <f>IF(ISNUMBER(SEARCH('1Př1'!$A$32,N191)),MAX($M$2:M190)+1,0)</f>
        <v>189</v>
      </c>
      <c r="S191" s="287" t="s">
        <v>1477</v>
      </c>
      <c r="T191" t="str">
        <f>IFERROR(VLOOKUP(ROWS($T$3:T191),$R$3:$S$718,2,0),"")</f>
        <v>Výroba konstrukčních kovových výrobků</v>
      </c>
      <c r="U191">
        <f>IF(ISNUMBER(SEARCH('1Př1'!$A$33,N191)),MAX($M$2:M190)+1,0)</f>
        <v>189</v>
      </c>
      <c r="V191" s="287" t="s">
        <v>1477</v>
      </c>
      <c r="W191" t="str">
        <f>IFERROR(VLOOKUP(ROWS($W$3:W191),$U$3:$V$718,2,0),"")</f>
        <v>Výroba konstrukčních kovových výrobků</v>
      </c>
      <c r="X191">
        <f>IF(ISNUMBER(SEARCH('1Př1'!$A$34,N191)),MAX($M$2:M190)+1,0)</f>
        <v>189</v>
      </c>
      <c r="Y191" s="287" t="s">
        <v>1477</v>
      </c>
      <c r="Z191" t="str">
        <f>IFERROR(VLOOKUP(ROWS($Z$3:Z191),$X$3:$Y$718,2,0),"")</f>
        <v>Výroba konstrukčních kovových výrobků</v>
      </c>
    </row>
    <row r="192" spans="1:26" ht="12.75" customHeight="1">
      <c r="A192" s="263"/>
      <c r="B192" s="263"/>
      <c r="C192" s="263"/>
      <c r="D192" s="279">
        <f>IF(ISNUMBER(SEARCH(ZAKL_DATA!$B$14,E192)),MAX($D$2:D191)+1,0)</f>
        <v>190</v>
      </c>
      <c r="E192" s="291" t="s">
        <v>1478</v>
      </c>
      <c r="F192" s="292">
        <v>3301</v>
      </c>
      <c r="G192" s="293"/>
      <c r="H192" s="294" t="str">
        <f>IFERROR(VLOOKUP(ROWS($H$3:H192),$D$3:$E$204,2,0),"")</f>
        <v>ZLÍN</v>
      </c>
      <c r="I192" s="263"/>
      <c r="J192" s="296" t="s">
        <v>1479</v>
      </c>
      <c r="K192" s="285" t="s">
        <v>1480</v>
      </c>
      <c r="M192" s="286">
        <f>IF(ISNUMBER(SEARCH(ZAKL_DATA!$B$29,N192)),MAX($M$2:M191)+1,0)</f>
        <v>190</v>
      </c>
      <c r="N192" s="791" t="s">
        <v>2196</v>
      </c>
      <c r="O192" s="791" t="s">
        <v>3428</v>
      </c>
      <c r="Q192" s="288" t="str">
        <f>IFERROR(VLOOKUP(ROWS($Q$3:Q192),$M$3:$N$718,2,0),"")</f>
        <v>Opravy a údržba kolejových vozidel</v>
      </c>
      <c r="R192">
        <f>IF(ISNUMBER(SEARCH('1Př1'!$A$32,N192)),MAX($M$2:M191)+1,0)</f>
        <v>190</v>
      </c>
      <c r="S192" s="287" t="s">
        <v>1481</v>
      </c>
      <c r="T192" t="str">
        <f>IFERROR(VLOOKUP(ROWS($T$3:T192),$R$3:$S$718,2,0),"")</f>
        <v>Výroba radiátorů a kotlů k ústřednímu topení, kovových nádrží a zásobníků</v>
      </c>
      <c r="U192">
        <f>IF(ISNUMBER(SEARCH('1Př1'!$A$33,N192)),MAX($M$2:M191)+1,0)</f>
        <v>190</v>
      </c>
      <c r="V192" s="287" t="s">
        <v>1481</v>
      </c>
      <c r="W192" t="str">
        <f>IFERROR(VLOOKUP(ROWS($W$3:W192),$U$3:$V$718,2,0),"")</f>
        <v>Výroba radiátorů a kotlů k ústřednímu topení, kovových nádrží a zásobníků</v>
      </c>
      <c r="X192">
        <f>IF(ISNUMBER(SEARCH('1Př1'!$A$34,N192)),MAX($M$2:M191)+1,0)</f>
        <v>190</v>
      </c>
      <c r="Y192" s="287" t="s">
        <v>1481</v>
      </c>
      <c r="Z192" t="str">
        <f>IFERROR(VLOOKUP(ROWS($Z$3:Z192),$X$3:$Y$718,2,0),"")</f>
        <v>Výroba radiátorů a kotlů k ústřednímu topení, kovových nádrží a zásobníků</v>
      </c>
    </row>
    <row r="193" spans="1:26" ht="12.75" customHeight="1">
      <c r="A193" s="263"/>
      <c r="B193" s="263"/>
      <c r="C193" s="263"/>
      <c r="D193" s="279">
        <f>IF(ISNUMBER(SEARCH(ZAKL_DATA!$B$14,E193)),MAX($D$2:D192)+1,0)</f>
        <v>191</v>
      </c>
      <c r="E193" s="291" t="s">
        <v>1482</v>
      </c>
      <c r="F193" s="292">
        <v>3302</v>
      </c>
      <c r="G193" s="293"/>
      <c r="H193" s="294" t="str">
        <f>IFERROR(VLOOKUP(ROWS($H$3:H193),$D$3:$E$204,2,0),"")</f>
        <v>BYSTŘICE POD HOSTÝNEM</v>
      </c>
      <c r="I193" s="263"/>
      <c r="J193" s="296" t="s">
        <v>1483</v>
      </c>
      <c r="K193" s="285" t="s">
        <v>1484</v>
      </c>
      <c r="M193" s="286">
        <f>IF(ISNUMBER(SEARCH(ZAKL_DATA!$B$29,N193)),MAX($M$2:M192)+1,0)</f>
        <v>191</v>
      </c>
      <c r="N193" s="791" t="s">
        <v>3429</v>
      </c>
      <c r="O193" s="791" t="s">
        <v>3430</v>
      </c>
      <c r="Q193" s="288" t="str">
        <f>IFERROR(VLOOKUP(ROWS($Q$3:Q193),$M$3:$N$718,2,0),"")</f>
        <v>Opravy a údržba kovových výrobků</v>
      </c>
      <c r="R193">
        <f>IF(ISNUMBER(SEARCH('1Př1'!$A$32,N193)),MAX($M$2:M192)+1,0)</f>
        <v>191</v>
      </c>
      <c r="S193" s="287" t="s">
        <v>1485</v>
      </c>
      <c r="T193" t="str">
        <f>IFERROR(VLOOKUP(ROWS($T$3:T193),$R$3:$S$718,2,0),"")</f>
        <v>Výroba parních kotlů, kromě kotlů pro ústřední topení</v>
      </c>
      <c r="U193">
        <f>IF(ISNUMBER(SEARCH('1Př1'!$A$33,N193)),MAX($M$2:M192)+1,0)</f>
        <v>191</v>
      </c>
      <c r="V193" s="287" t="s">
        <v>1485</v>
      </c>
      <c r="W193" t="str">
        <f>IFERROR(VLOOKUP(ROWS($W$3:W193),$U$3:$V$718,2,0),"")</f>
        <v>Výroba parních kotlů, kromě kotlů pro ústřední topení</v>
      </c>
      <c r="X193">
        <f>IF(ISNUMBER(SEARCH('1Př1'!$A$34,N193)),MAX($M$2:M192)+1,0)</f>
        <v>191</v>
      </c>
      <c r="Y193" s="287" t="s">
        <v>1485</v>
      </c>
      <c r="Z193" t="str">
        <f>IFERROR(VLOOKUP(ROWS($Z$3:Z193),$X$3:$Y$718,2,0),"")</f>
        <v>Výroba parních kotlů, kromě kotlů pro ústřední topení</v>
      </c>
    </row>
    <row r="194" spans="1:26" ht="12.75" customHeight="1">
      <c r="A194" s="263"/>
      <c r="B194" s="263"/>
      <c r="C194" s="263"/>
      <c r="D194" s="279">
        <f>IF(ISNUMBER(SEARCH(ZAKL_DATA!$B$14,E194)),MAX($D$2:D193)+1,0)</f>
        <v>192</v>
      </c>
      <c r="E194" s="291" t="s">
        <v>1486</v>
      </c>
      <c r="F194" s="292">
        <v>3303</v>
      </c>
      <c r="G194" s="293"/>
      <c r="H194" s="294" t="str">
        <f>IFERROR(VLOOKUP(ROWS($H$3:H194),$D$3:$E$204,2,0),"")</f>
        <v>HOLEŠOV</v>
      </c>
      <c r="I194" s="263"/>
      <c r="J194" s="296" t="s">
        <v>1487</v>
      </c>
      <c r="K194" s="285" t="s">
        <v>1488</v>
      </c>
      <c r="M194" s="286">
        <f>IF(ISNUMBER(SEARCH(ZAKL_DATA!$B$29,N194)),MAX($M$2:M193)+1,0)</f>
        <v>192</v>
      </c>
      <c r="N194" s="791" t="s">
        <v>3431</v>
      </c>
      <c r="O194" s="791" t="s">
        <v>3432</v>
      </c>
      <c r="Q194" s="288" t="str">
        <f>IFERROR(VLOOKUP(ROWS($Q$3:Q194),$M$3:$N$718,2,0),"")</f>
        <v>Opravy a údržba motocyklů</v>
      </c>
      <c r="R194">
        <f>IF(ISNUMBER(SEARCH('1Př1'!$A$32,N194)),MAX($M$2:M193)+1,0)</f>
        <v>192</v>
      </c>
      <c r="S194" s="287" t="s">
        <v>1489</v>
      </c>
      <c r="T194" t="str">
        <f>IFERROR(VLOOKUP(ROWS($T$3:T194),$R$3:$S$718,2,0),"")</f>
        <v>Výroba zbraní a střeliva</v>
      </c>
      <c r="U194">
        <f>IF(ISNUMBER(SEARCH('1Př1'!$A$33,N194)),MAX($M$2:M193)+1,0)</f>
        <v>192</v>
      </c>
      <c r="V194" s="287" t="s">
        <v>1489</v>
      </c>
      <c r="W194" t="str">
        <f>IFERROR(VLOOKUP(ROWS($W$3:W194),$U$3:$V$718,2,0),"")</f>
        <v>Výroba zbraní a střeliva</v>
      </c>
      <c r="X194">
        <f>IF(ISNUMBER(SEARCH('1Př1'!$A$34,N194)),MAX($M$2:M193)+1,0)</f>
        <v>192</v>
      </c>
      <c r="Y194" s="287" t="s">
        <v>1489</v>
      </c>
      <c r="Z194" t="str">
        <f>IFERROR(VLOOKUP(ROWS($Z$3:Z194),$X$3:$Y$718,2,0),"")</f>
        <v>Výroba zbraní a střeliva</v>
      </c>
    </row>
    <row r="195" spans="1:26" ht="12.75" customHeight="1">
      <c r="A195" s="263"/>
      <c r="B195" s="263"/>
      <c r="C195" s="263"/>
      <c r="D195" s="279">
        <f>IF(ISNUMBER(SEARCH(ZAKL_DATA!$B$14,E195)),MAX($D$2:D194)+1,0)</f>
        <v>193</v>
      </c>
      <c r="E195" s="291" t="s">
        <v>1490</v>
      </c>
      <c r="F195" s="292">
        <v>3304</v>
      </c>
      <c r="G195" s="293"/>
      <c r="H195" s="294" t="str">
        <f>IFERROR(VLOOKUP(ROWS($H$3:H195),$D$3:$E$204,2,0),"")</f>
        <v>KROMĚŘÍŽ</v>
      </c>
      <c r="I195" s="263"/>
      <c r="J195" s="296" t="s">
        <v>1491</v>
      </c>
      <c r="K195" s="285" t="s">
        <v>1492</v>
      </c>
      <c r="M195" s="286">
        <f>IF(ISNUMBER(SEARCH(ZAKL_DATA!$B$29,N195)),MAX($M$2:M194)+1,0)</f>
        <v>193</v>
      </c>
      <c r="N195" s="791" t="s">
        <v>3433</v>
      </c>
      <c r="O195" s="791" t="s">
        <v>3434</v>
      </c>
      <c r="Q195" s="288" t="str">
        <f>IFERROR(VLOOKUP(ROWS($Q$3:Q195),$M$3:$N$718,2,0),"")</f>
        <v>Opravy a údržba motorových vozidel</v>
      </c>
      <c r="R195">
        <f>IF(ISNUMBER(SEARCH('1Př1'!$A$32,N195)),MAX($M$2:M194)+1,0)</f>
        <v>193</v>
      </c>
      <c r="S195" s="287" t="s">
        <v>1493</v>
      </c>
      <c r="T195" t="str">
        <f>IFERROR(VLOOKUP(ROWS($T$3:T195),$R$3:$S$718,2,0),"")</f>
        <v>Kování,lisování,ražení,válcování a protlačování kovů;prášková metalurgie</v>
      </c>
      <c r="U195">
        <f>IF(ISNUMBER(SEARCH('1Př1'!$A$33,N195)),MAX($M$2:M194)+1,0)</f>
        <v>193</v>
      </c>
      <c r="V195" s="287" t="s">
        <v>1493</v>
      </c>
      <c r="W195" t="str">
        <f>IFERROR(VLOOKUP(ROWS($W$3:W195),$U$3:$V$718,2,0),"")</f>
        <v>Kování,lisování,ražení,válcování a protlačování kovů;prášková metalurgie</v>
      </c>
      <c r="X195">
        <f>IF(ISNUMBER(SEARCH('1Př1'!$A$34,N195)),MAX($M$2:M194)+1,0)</f>
        <v>193</v>
      </c>
      <c r="Y195" s="287" t="s">
        <v>1493</v>
      </c>
      <c r="Z195" t="str">
        <f>IFERROR(VLOOKUP(ROWS($Z$3:Z195),$X$3:$Y$718,2,0),"")</f>
        <v>Kování,lisování,ražení,válcování a protlačování kovů;prášková metalurgie</v>
      </c>
    </row>
    <row r="196" spans="1:26" ht="12.75" customHeight="1">
      <c r="A196" s="263"/>
      <c r="B196" s="263"/>
      <c r="C196" s="263"/>
      <c r="D196" s="279">
        <f>IF(ISNUMBER(SEARCH(ZAKL_DATA!$B$14,E196)),MAX($D$2:D195)+1,0)</f>
        <v>194</v>
      </c>
      <c r="E196" s="291" t="s">
        <v>1494</v>
      </c>
      <c r="F196" s="292">
        <v>3305</v>
      </c>
      <c r="G196" s="293"/>
      <c r="H196" s="294" t="str">
        <f>IFERROR(VLOOKUP(ROWS($H$3:H196),$D$3:$E$204,2,0),"")</f>
        <v>LUHAČOVICE</v>
      </c>
      <c r="I196" s="263"/>
      <c r="J196" s="296" t="s">
        <v>1495</v>
      </c>
      <c r="K196" s="285" t="s">
        <v>1496</v>
      </c>
      <c r="M196" s="286">
        <f>IF(ISNUMBER(SEARCH(ZAKL_DATA!$B$29,N196)),MAX($M$2:M195)+1,0)</f>
        <v>194</v>
      </c>
      <c r="N196" s="791" t="s">
        <v>3435</v>
      </c>
      <c r="O196" s="791" t="s">
        <v>3436</v>
      </c>
      <c r="Q196" s="288" t="str">
        <f>IFERROR(VLOOKUP(ROWS($Q$3:Q196),$M$3:$N$718,2,0),"")</f>
        <v>Opravy a údržba nábytku a bytového zařízení</v>
      </c>
      <c r="R196">
        <f>IF(ISNUMBER(SEARCH('1Př1'!$A$32,N196)),MAX($M$2:M195)+1,0)</f>
        <v>194</v>
      </c>
      <c r="S196" s="287" t="s">
        <v>1497</v>
      </c>
      <c r="T196" t="str">
        <f>IFERROR(VLOOKUP(ROWS($T$3:T196),$R$3:$S$718,2,0),"")</f>
        <v>Povrchová úprava a zušlechťování kovů; obrábění</v>
      </c>
      <c r="U196">
        <f>IF(ISNUMBER(SEARCH('1Př1'!$A$33,N196)),MAX($M$2:M195)+1,0)</f>
        <v>194</v>
      </c>
      <c r="V196" s="287" t="s">
        <v>1497</v>
      </c>
      <c r="W196" t="str">
        <f>IFERROR(VLOOKUP(ROWS($W$3:W196),$U$3:$V$718,2,0),"")</f>
        <v>Povrchová úprava a zušlechťování kovů; obrábění</v>
      </c>
      <c r="X196">
        <f>IF(ISNUMBER(SEARCH('1Př1'!$A$34,N196)),MAX($M$2:M195)+1,0)</f>
        <v>194</v>
      </c>
      <c r="Y196" s="287" t="s">
        <v>1497</v>
      </c>
      <c r="Z196" t="str">
        <f>IFERROR(VLOOKUP(ROWS($Z$3:Z196),$X$3:$Y$718,2,0),"")</f>
        <v>Povrchová úprava a zušlechťování kovů; obrábění</v>
      </c>
    </row>
    <row r="197" spans="1:26" ht="12.75" customHeight="1">
      <c r="A197" s="263"/>
      <c r="B197" s="263"/>
      <c r="C197" s="263"/>
      <c r="D197" s="279">
        <f>IF(ISNUMBER(SEARCH(ZAKL_DATA!$B$14,E197)),MAX($D$2:D196)+1,0)</f>
        <v>195</v>
      </c>
      <c r="E197" s="291" t="s">
        <v>1498</v>
      </c>
      <c r="F197" s="292">
        <v>3306</v>
      </c>
      <c r="G197" s="293"/>
      <c r="H197" s="294" t="str">
        <f>IFERROR(VLOOKUP(ROWS($H$3:H197),$D$3:$E$204,2,0),"")</f>
        <v>OTROKOVICE</v>
      </c>
      <c r="I197" s="263"/>
      <c r="J197" s="296" t="s">
        <v>1499</v>
      </c>
      <c r="K197" s="285" t="s">
        <v>1500</v>
      </c>
      <c r="M197" s="286">
        <f>IF(ISNUMBER(SEARCH(ZAKL_DATA!$B$29,N197)),MAX($M$2:M196)+1,0)</f>
        <v>195</v>
      </c>
      <c r="N197" s="791" t="s">
        <v>3437</v>
      </c>
      <c r="O197" s="791" t="s">
        <v>3438</v>
      </c>
      <c r="Q197" s="288" t="str">
        <f>IFERROR(VLOOKUP(ROWS($Q$3:Q197),$M$3:$N$718,2,0),"")</f>
        <v>Opravy a údržba obuvi a kožených výrobků</v>
      </c>
      <c r="R197">
        <f>IF(ISNUMBER(SEARCH('1Př1'!$A$32,N197)),MAX($M$2:M196)+1,0)</f>
        <v>195</v>
      </c>
      <c r="S197" s="287" t="s">
        <v>1501</v>
      </c>
      <c r="T197" t="str">
        <f>IFERROR(VLOOKUP(ROWS($T$3:T197),$R$3:$S$718,2,0),"")</f>
        <v>Výroba nožířských výrobků, nástrojů a železářských výrobků</v>
      </c>
      <c r="U197">
        <f>IF(ISNUMBER(SEARCH('1Př1'!$A$33,N197)),MAX($M$2:M196)+1,0)</f>
        <v>195</v>
      </c>
      <c r="V197" s="287" t="s">
        <v>1501</v>
      </c>
      <c r="W197" t="str">
        <f>IFERROR(VLOOKUP(ROWS($W$3:W197),$U$3:$V$718,2,0),"")</f>
        <v>Výroba nožířských výrobků, nástrojů a železářských výrobků</v>
      </c>
      <c r="X197">
        <f>IF(ISNUMBER(SEARCH('1Př1'!$A$34,N197)),MAX($M$2:M196)+1,0)</f>
        <v>195</v>
      </c>
      <c r="Y197" s="287" t="s">
        <v>1501</v>
      </c>
      <c r="Z197" t="str">
        <f>IFERROR(VLOOKUP(ROWS($Z$3:Z197),$X$3:$Y$718,2,0),"")</f>
        <v>Výroba nožířských výrobků, nástrojů a železářských výrobků</v>
      </c>
    </row>
    <row r="198" spans="1:26" ht="12.75" customHeight="1">
      <c r="A198" s="263"/>
      <c r="B198" s="263"/>
      <c r="C198" s="263"/>
      <c r="D198" s="279">
        <f>IF(ISNUMBER(SEARCH(ZAKL_DATA!$B$14,E198)),MAX($D$2:D197)+1,0)</f>
        <v>196</v>
      </c>
      <c r="E198" s="291" t="s">
        <v>1502</v>
      </c>
      <c r="F198" s="292">
        <v>3307</v>
      </c>
      <c r="G198" s="293"/>
      <c r="H198" s="294" t="str">
        <f>IFERROR(VLOOKUP(ROWS($H$3:H198),$D$3:$E$204,2,0),"")</f>
        <v>ROŽNOV POD RADH.</v>
      </c>
      <c r="I198" s="263"/>
      <c r="J198" s="296" t="s">
        <v>1503</v>
      </c>
      <c r="K198" s="285" t="s">
        <v>1504</v>
      </c>
      <c r="M198" s="286">
        <f>IF(ISNUMBER(SEARCH(ZAKL_DATA!$B$29,N198)),MAX($M$2:M197)+1,0)</f>
        <v>196</v>
      </c>
      <c r="N198" s="791" t="s">
        <v>3439</v>
      </c>
      <c r="O198" s="791" t="s">
        <v>3440</v>
      </c>
      <c r="Q198" s="288" t="str">
        <f>IFERROR(VLOOKUP(ROWS($Q$3:Q198),$M$3:$N$718,2,0),"")</f>
        <v>Opravy a údržba ostatních civilních dopravních prostředků a zařízení j. n.</v>
      </c>
      <c r="R198">
        <f>IF(ISNUMBER(SEARCH('1Př1'!$A$32,N198)),MAX($M$2:M197)+1,0)</f>
        <v>196</v>
      </c>
      <c r="S198" s="287" t="s">
        <v>1505</v>
      </c>
      <c r="T198" t="str">
        <f>IFERROR(VLOOKUP(ROWS($T$3:T198),$R$3:$S$718,2,0),"")</f>
        <v>Výroba ostatních kovodělných výrobků</v>
      </c>
      <c r="U198">
        <f>IF(ISNUMBER(SEARCH('1Př1'!$A$33,N198)),MAX($M$2:M197)+1,0)</f>
        <v>196</v>
      </c>
      <c r="V198" s="287" t="s">
        <v>1505</v>
      </c>
      <c r="W198" t="str">
        <f>IFERROR(VLOOKUP(ROWS($W$3:W198),$U$3:$V$718,2,0),"")</f>
        <v>Výroba ostatních kovodělných výrobků</v>
      </c>
      <c r="X198">
        <f>IF(ISNUMBER(SEARCH('1Př1'!$A$34,N198)),MAX($M$2:M197)+1,0)</f>
        <v>196</v>
      </c>
      <c r="Y198" s="287" t="s">
        <v>1505</v>
      </c>
      <c r="Z198" t="str">
        <f>IFERROR(VLOOKUP(ROWS($Z$3:Z198),$X$3:$Y$718,2,0),"")</f>
        <v>Výroba ostatních kovodělných výrobků</v>
      </c>
    </row>
    <row r="199" spans="1:26" ht="12.75" customHeight="1">
      <c r="A199" s="263"/>
      <c r="B199" s="263"/>
      <c r="C199" s="263"/>
      <c r="D199" s="279">
        <f>IF(ISNUMBER(SEARCH(ZAKL_DATA!$B$14,E199)),MAX($D$2:D198)+1,0)</f>
        <v>197</v>
      </c>
      <c r="E199" s="291" t="s">
        <v>1506</v>
      </c>
      <c r="F199" s="292">
        <v>3308</v>
      </c>
      <c r="G199" s="293"/>
      <c r="H199" s="294" t="str">
        <f>IFERROR(VLOOKUP(ROWS($H$3:H199),$D$3:$E$204,2,0),"")</f>
        <v>UHERSKÝ BROD</v>
      </c>
      <c r="I199" s="263"/>
      <c r="J199" s="296" t="s">
        <v>1507</v>
      </c>
      <c r="K199" s="285" t="s">
        <v>1508</v>
      </c>
      <c r="M199" s="286">
        <f>IF(ISNUMBER(SEARCH(ZAKL_DATA!$B$29,N199)),MAX($M$2:M198)+1,0)</f>
        <v>197</v>
      </c>
      <c r="N199" s="791" t="s">
        <v>3441</v>
      </c>
      <c r="O199" s="791" t="s">
        <v>3442</v>
      </c>
      <c r="Q199" s="288" t="str">
        <f>IFERROR(VLOOKUP(ROWS($Q$3:Q199),$M$3:$N$718,2,0),"")</f>
        <v>Opravy a údržba ostatních zařízení</v>
      </c>
      <c r="R199">
        <f>IF(ISNUMBER(SEARCH('1Př1'!$A$32,N199)),MAX($M$2:M198)+1,0)</f>
        <v>197</v>
      </c>
      <c r="S199" s="287" t="s">
        <v>1509</v>
      </c>
      <c r="T199" t="str">
        <f>IFERROR(VLOOKUP(ROWS($T$3:T199),$R$3:$S$718,2,0),"")</f>
        <v>Výroba elektronických součástek a desek</v>
      </c>
      <c r="U199">
        <f>IF(ISNUMBER(SEARCH('1Př1'!$A$33,N199)),MAX($M$2:M198)+1,0)</f>
        <v>197</v>
      </c>
      <c r="V199" s="287" t="s">
        <v>1509</v>
      </c>
      <c r="W199" t="str">
        <f>IFERROR(VLOOKUP(ROWS($W$3:W199),$U$3:$V$718,2,0),"")</f>
        <v>Výroba elektronických součástek a desek</v>
      </c>
      <c r="X199">
        <f>IF(ISNUMBER(SEARCH('1Př1'!$A$34,N199)),MAX($M$2:M198)+1,0)</f>
        <v>197</v>
      </c>
      <c r="Y199" s="287" t="s">
        <v>1509</v>
      </c>
      <c r="Z199" t="str">
        <f>IFERROR(VLOOKUP(ROWS($Z$3:Z199),$X$3:$Y$718,2,0),"")</f>
        <v>Výroba elektronických součástek a desek</v>
      </c>
    </row>
    <row r="200" spans="1:26" ht="12.75" customHeight="1">
      <c r="A200" s="263"/>
      <c r="B200" s="263"/>
      <c r="C200" s="263"/>
      <c r="D200" s="279">
        <f>IF(ISNUMBER(SEARCH(ZAKL_DATA!$B$14,E200)),MAX($D$2:D199)+1,0)</f>
        <v>198</v>
      </c>
      <c r="E200" s="291" t="s">
        <v>1510</v>
      </c>
      <c r="F200" s="292">
        <v>3309</v>
      </c>
      <c r="G200" s="293"/>
      <c r="H200" s="294" t="str">
        <f>IFERROR(VLOOKUP(ROWS($H$3:H200),$D$3:$E$204,2,0),"")</f>
        <v>UHERSKÉ HRADIŠTĚ</v>
      </c>
      <c r="I200" s="263"/>
      <c r="J200" s="296" t="s">
        <v>1511</v>
      </c>
      <c r="K200" s="285" t="s">
        <v>1512</v>
      </c>
      <c r="M200" s="286">
        <f>IF(ISNUMBER(SEARCH(ZAKL_DATA!$B$29,N200)),MAX($M$2:M199)+1,0)</f>
        <v>198</v>
      </c>
      <c r="N200" s="791" t="s">
        <v>3443</v>
      </c>
      <c r="O200" s="791" t="s">
        <v>3444</v>
      </c>
      <c r="Q200" s="288" t="str">
        <f>IFERROR(VLOOKUP(ROWS($Q$3:Q200),$M$3:$N$718,2,0),"")</f>
        <v>Opravy a údržba počítačů a komunikačních zařízení</v>
      </c>
      <c r="R200">
        <f>IF(ISNUMBER(SEARCH('1Př1'!$A$32,N200)),MAX($M$2:M199)+1,0)</f>
        <v>198</v>
      </c>
      <c r="S200" s="287" t="s">
        <v>1513</v>
      </c>
      <c r="T200" t="str">
        <f>IFERROR(VLOOKUP(ROWS($T$3:T200),$R$3:$S$718,2,0),"")</f>
        <v>Výroba počítačů a periferních zařízení</v>
      </c>
      <c r="U200">
        <f>IF(ISNUMBER(SEARCH('1Př1'!$A$33,N200)),MAX($M$2:M199)+1,0)</f>
        <v>198</v>
      </c>
      <c r="V200" s="287" t="s">
        <v>1513</v>
      </c>
      <c r="W200" t="str">
        <f>IFERROR(VLOOKUP(ROWS($W$3:W200),$U$3:$V$718,2,0),"")</f>
        <v>Výroba počítačů a periferních zařízení</v>
      </c>
      <c r="X200">
        <f>IF(ISNUMBER(SEARCH('1Př1'!$A$34,N200)),MAX($M$2:M199)+1,0)</f>
        <v>198</v>
      </c>
      <c r="Y200" s="287" t="s">
        <v>1513</v>
      </c>
      <c r="Z200" t="str">
        <f>IFERROR(VLOOKUP(ROWS($Z$3:Z200),$X$3:$Y$718,2,0),"")</f>
        <v>Výroba počítačů a periferních zařízení</v>
      </c>
    </row>
    <row r="201" spans="1:26" ht="12.75" customHeight="1">
      <c r="A201" s="263"/>
      <c r="B201" s="263"/>
      <c r="C201" s="263"/>
      <c r="D201" s="279">
        <f>IF(ISNUMBER(SEARCH(ZAKL_DATA!$B$14,E201)),MAX($D$2:D200)+1,0)</f>
        <v>199</v>
      </c>
      <c r="E201" s="291" t="s">
        <v>1514</v>
      </c>
      <c r="F201" s="292">
        <v>3310</v>
      </c>
      <c r="G201" s="293"/>
      <c r="H201" s="294" t="str">
        <f>IFERROR(VLOOKUP(ROWS($H$3:H201),$D$3:$E$204,2,0),"")</f>
        <v>VALAŠSKÉ MEZIŘÍČÍ</v>
      </c>
      <c r="I201" s="263"/>
      <c r="J201" s="296" t="s">
        <v>1515</v>
      </c>
      <c r="K201" s="285" t="s">
        <v>1516</v>
      </c>
      <c r="M201" s="286">
        <f>IF(ISNUMBER(SEARCH(ZAKL_DATA!$B$29,N201)),MAX($M$2:M200)+1,0)</f>
        <v>199</v>
      </c>
      <c r="N201" s="791" t="s">
        <v>3445</v>
      </c>
      <c r="O201" s="791" t="s">
        <v>3446</v>
      </c>
      <c r="Q201" s="288" t="str">
        <f>IFERROR(VLOOKUP(ROWS($Q$3:Q201),$M$3:$N$718,2,0),"")</f>
        <v>Opravy a údržba přístrojů a zařízení převážně pro domácnost, dům a zahradu</v>
      </c>
      <c r="R201">
        <f>IF(ISNUMBER(SEARCH('1Př1'!$A$32,N201)),MAX($M$2:M200)+1,0)</f>
        <v>199</v>
      </c>
      <c r="S201" s="287" t="s">
        <v>1517</v>
      </c>
      <c r="T201" t="str">
        <f>IFERROR(VLOOKUP(ROWS($T$3:T201),$R$3:$S$718,2,0),"")</f>
        <v>Výroba komunikačních zařízení</v>
      </c>
      <c r="U201">
        <f>IF(ISNUMBER(SEARCH('1Př1'!$A$33,N201)),MAX($M$2:M200)+1,0)</f>
        <v>199</v>
      </c>
      <c r="V201" s="287" t="s">
        <v>1517</v>
      </c>
      <c r="W201" t="str">
        <f>IFERROR(VLOOKUP(ROWS($W$3:W201),$U$3:$V$718,2,0),"")</f>
        <v>Výroba komunikačních zařízení</v>
      </c>
      <c r="X201">
        <f>IF(ISNUMBER(SEARCH('1Př1'!$A$34,N201)),MAX($M$2:M200)+1,0)</f>
        <v>199</v>
      </c>
      <c r="Y201" s="287" t="s">
        <v>1517</v>
      </c>
      <c r="Z201" t="str">
        <f>IFERROR(VLOOKUP(ROWS($Z$3:Z201),$X$3:$Y$718,2,0),"")</f>
        <v>Výroba komunikačních zařízení</v>
      </c>
    </row>
    <row r="202" spans="1:26" ht="12.75" customHeight="1">
      <c r="A202" s="263"/>
      <c r="B202" s="263"/>
      <c r="C202" s="263"/>
      <c r="D202" s="279">
        <f>IF(ISNUMBER(SEARCH(ZAKL_DATA!$B$14,E202)),MAX($D$2:D201)+1,0)</f>
        <v>200</v>
      </c>
      <c r="E202" s="291" t="s">
        <v>1518</v>
      </c>
      <c r="F202" s="292">
        <v>3311</v>
      </c>
      <c r="G202" s="293"/>
      <c r="H202" s="294" t="str">
        <f>IFERROR(VLOOKUP(ROWS($H$3:H202),$D$3:$E$204,2,0),"")</f>
        <v>VALAŠSKÉ KLOBOUKY</v>
      </c>
      <c r="I202" s="263"/>
      <c r="J202" s="296" t="s">
        <v>1519</v>
      </c>
      <c r="K202" s="285" t="s">
        <v>1520</v>
      </c>
      <c r="M202" s="286">
        <f>IF(ISNUMBER(SEARCH(ZAKL_DATA!$B$29,N202)),MAX($M$2:M201)+1,0)</f>
        <v>200</v>
      </c>
      <c r="N202" s="791" t="s">
        <v>3447</v>
      </c>
      <c r="O202" s="791" t="s">
        <v>3448</v>
      </c>
      <c r="Q202" s="288" t="str">
        <f>IFERROR(VLOOKUP(ROWS($Q$3:Q202),$M$3:$N$718,2,0),"")</f>
        <v>Opravy a údržba spotřební elektroniky</v>
      </c>
      <c r="R202">
        <f>IF(ISNUMBER(SEARCH('1Př1'!$A$32,N202)),MAX($M$2:M201)+1,0)</f>
        <v>200</v>
      </c>
      <c r="S202" s="287" t="s">
        <v>1521</v>
      </c>
      <c r="T202" t="str">
        <f>IFERROR(VLOOKUP(ROWS($T$3:T202),$R$3:$S$718,2,0),"")</f>
        <v>Výroba spotřební elektroniky</v>
      </c>
      <c r="U202">
        <f>IF(ISNUMBER(SEARCH('1Př1'!$A$33,N202)),MAX($M$2:M201)+1,0)</f>
        <v>200</v>
      </c>
      <c r="V202" s="287" t="s">
        <v>1521</v>
      </c>
      <c r="W202" t="str">
        <f>IFERROR(VLOOKUP(ROWS($W$3:W202),$U$3:$V$718,2,0),"")</f>
        <v>Výroba spotřební elektroniky</v>
      </c>
      <c r="X202">
        <f>IF(ISNUMBER(SEARCH('1Př1'!$A$34,N202)),MAX($M$2:M201)+1,0)</f>
        <v>200</v>
      </c>
      <c r="Y202" s="287" t="s">
        <v>1521</v>
      </c>
      <c r="Z202" t="str">
        <f>IFERROR(VLOOKUP(ROWS($Z$3:Z202),$X$3:$Y$718,2,0),"")</f>
        <v>Výroba spotřební elektroniky</v>
      </c>
    </row>
    <row r="203" spans="1:26" ht="12.75" customHeight="1">
      <c r="A203" s="263"/>
      <c r="B203" s="263"/>
      <c r="C203" s="263"/>
      <c r="D203" s="279">
        <f>IF(ISNUMBER(SEARCH(ZAKL_DATA!$B$14,E203)),MAX($D$2:D202)+1,0)</f>
        <v>201</v>
      </c>
      <c r="E203" s="291" t="s">
        <v>1522</v>
      </c>
      <c r="F203" s="292">
        <v>3312</v>
      </c>
      <c r="G203" s="293"/>
      <c r="H203" s="294" t="str">
        <f>IFERROR(VLOOKUP(ROWS($H$3:H203),$D$3:$E$204,2,0),"")</f>
        <v>VSETÍN</v>
      </c>
      <c r="I203" s="263"/>
      <c r="J203" s="296" t="s">
        <v>1523</v>
      </c>
      <c r="K203" s="285" t="s">
        <v>1524</v>
      </c>
      <c r="M203" s="286">
        <f>IF(ISNUMBER(SEARCH(ZAKL_DATA!$B$29,N203)),MAX($M$2:M202)+1,0)</f>
        <v>201</v>
      </c>
      <c r="N203" s="791" t="s">
        <v>3449</v>
      </c>
      <c r="O203" s="791" t="s">
        <v>3450</v>
      </c>
      <c r="Q203" s="288" t="str">
        <f>IFERROR(VLOOKUP(ROWS($Q$3:Q203),$M$3:$N$718,2,0),"")</f>
        <v>Opravy a údržba strojů</v>
      </c>
      <c r="R203">
        <f>IF(ISNUMBER(SEARCH('1Př1'!$A$32,N203)),MAX($M$2:M202)+1,0)</f>
        <v>201</v>
      </c>
      <c r="S203" s="287" t="s">
        <v>1525</v>
      </c>
      <c r="T203" t="str">
        <f>IFERROR(VLOOKUP(ROWS($T$3:T203),$R$3:$S$718,2,0),"")</f>
        <v>Výroba měřicích,zkušebních a navigačních přístrojů;výroba časoměr.přístrojů</v>
      </c>
      <c r="U203">
        <f>IF(ISNUMBER(SEARCH('1Př1'!$A$33,N203)),MAX($M$2:M202)+1,0)</f>
        <v>201</v>
      </c>
      <c r="V203" s="287" t="s">
        <v>1525</v>
      </c>
      <c r="W203" t="str">
        <f>IFERROR(VLOOKUP(ROWS($W$3:W203),$U$3:$V$718,2,0),"")</f>
        <v>Výroba měřicích,zkušebních a navigačních přístrojů;výroba časoměr.přístrojů</v>
      </c>
      <c r="X203">
        <f>IF(ISNUMBER(SEARCH('1Př1'!$A$34,N203)),MAX($M$2:M202)+1,0)</f>
        <v>201</v>
      </c>
      <c r="Y203" s="287" t="s">
        <v>1525</v>
      </c>
      <c r="Z203" t="str">
        <f>IFERROR(VLOOKUP(ROWS($Z$3:Z203),$X$3:$Y$718,2,0),"")</f>
        <v>Výroba měřicích,zkušebních a navigačních přístrojů;výroba časoměr.přístrojů</v>
      </c>
    </row>
    <row r="204" spans="1:26" ht="12.75" customHeight="1" thickBot="1">
      <c r="A204" s="263"/>
      <c r="B204" s="263"/>
      <c r="C204" s="263"/>
      <c r="D204" s="279">
        <f>IF(ISNUMBER(SEARCH(ZAKL_DATA!$B$14,E204)),MAX($D$2:D203)+1,0)</f>
        <v>202</v>
      </c>
      <c r="E204" s="303" t="s">
        <v>779</v>
      </c>
      <c r="F204" s="304">
        <v>4000</v>
      </c>
      <c r="G204" s="305"/>
      <c r="H204" s="306" t="str">
        <f>IFERROR(VLOOKUP(ROWS($H$3:H204),$D$3:$E$204,2,0),"")</f>
        <v>SPECIALIZOVANÝ</v>
      </c>
      <c r="I204" s="263"/>
      <c r="J204" s="296" t="s">
        <v>1526</v>
      </c>
      <c r="K204" s="285" t="s">
        <v>1527</v>
      </c>
      <c r="M204" s="286">
        <f>IF(ISNUMBER(SEARCH(ZAKL_DATA!$B$29,N204)),MAX($M$2:M203)+1,0)</f>
        <v>202</v>
      </c>
      <c r="N204" s="791" t="s">
        <v>3451</v>
      </c>
      <c r="O204" s="791" t="s">
        <v>3452</v>
      </c>
      <c r="Q204" s="288" t="str">
        <f>IFERROR(VLOOKUP(ROWS($Q$3:Q204),$M$3:$N$718,2,0),"")</f>
        <v>Opravy a údržba vojenských bojových vozidel</v>
      </c>
      <c r="R204">
        <f>IF(ISNUMBER(SEARCH('1Př1'!$A$32,N204)),MAX($M$2:M203)+1,0)</f>
        <v>202</v>
      </c>
      <c r="S204" s="287" t="s">
        <v>1528</v>
      </c>
      <c r="T204" t="str">
        <f>IFERROR(VLOOKUP(ROWS($T$3:T204),$R$3:$S$718,2,0),"")</f>
        <v>Výroba ozařovacích, elektroléčebných a elektroterapeutických přístrojů</v>
      </c>
      <c r="U204">
        <f>IF(ISNUMBER(SEARCH('1Př1'!$A$33,N204)),MAX($M$2:M203)+1,0)</f>
        <v>202</v>
      </c>
      <c r="V204" s="287" t="s">
        <v>1528</v>
      </c>
      <c r="W204" t="str">
        <f>IFERROR(VLOOKUP(ROWS($W$3:W204),$U$3:$V$718,2,0),"")</f>
        <v>Výroba ozařovacích, elektroléčebných a elektroterapeutických přístrojů</v>
      </c>
      <c r="X204">
        <f>IF(ISNUMBER(SEARCH('1Př1'!$A$34,N204)),MAX($M$2:M203)+1,0)</f>
        <v>202</v>
      </c>
      <c r="Y204" s="287" t="s">
        <v>1528</v>
      </c>
      <c r="Z204" t="str">
        <f>IFERROR(VLOOKUP(ROWS($Z$3:Z204),$X$3:$Y$718,2,0),"")</f>
        <v>Výroba ozařovacích, elektroléčebných a elektroterapeutických přístrojů</v>
      </c>
    </row>
    <row r="205" spans="1:26" ht="25.5">
      <c r="A205" s="263"/>
      <c r="B205" s="263"/>
      <c r="C205" s="263"/>
      <c r="D205" s="264"/>
      <c r="E205" s="263"/>
      <c r="F205" s="263"/>
      <c r="G205" s="263"/>
      <c r="H205" s="263" t="str">
        <f>IFERROR(VLOOKUP(ROWS($H$3:H205),$D$2:$E$204,2,0),"")</f>
        <v/>
      </c>
      <c r="I205" s="263"/>
      <c r="J205" s="296" t="s">
        <v>1529</v>
      </c>
      <c r="K205" s="285" t="s">
        <v>1530</v>
      </c>
      <c r="M205" s="286">
        <f>IF(ISNUMBER(SEARCH(ZAKL_DATA!$B$29,N205)),MAX($M$2:M204)+1,0)</f>
        <v>203</v>
      </c>
      <c r="N205" s="791" t="s">
        <v>3453</v>
      </c>
      <c r="O205" s="791" t="s">
        <v>3454</v>
      </c>
      <c r="Q205" s="288" t="str">
        <f>IFERROR(VLOOKUP(ROWS($Q$3:Q205),$M$3:$N$718,2,0),"")</f>
        <v>Opravy a údržba vojenských letadel a kosmických lodí</v>
      </c>
      <c r="R205">
        <f>IF(ISNUMBER(SEARCH('1Př1'!$A$32,N205)),MAX($M$2:M204)+1,0)</f>
        <v>203</v>
      </c>
      <c r="S205" s="287" t="s">
        <v>1531</v>
      </c>
      <c r="T205" t="str">
        <f>IFERROR(VLOOKUP(ROWS($T$3:T205),$R$3:$S$718,2,0),"")</f>
        <v>Výroba optických a fotografických přístrojů a zařízení</v>
      </c>
      <c r="U205">
        <f>IF(ISNUMBER(SEARCH('1Př1'!$A$33,N205)),MAX($M$2:M204)+1,0)</f>
        <v>203</v>
      </c>
      <c r="V205" s="287" t="s">
        <v>1531</v>
      </c>
      <c r="W205" t="str">
        <f>IFERROR(VLOOKUP(ROWS($W$3:W205),$U$3:$V$718,2,0),"")</f>
        <v>Výroba optických a fotografických přístrojů a zařízení</v>
      </c>
      <c r="X205">
        <f>IF(ISNUMBER(SEARCH('1Př1'!$A$34,N205)),MAX($M$2:M204)+1,0)</f>
        <v>203</v>
      </c>
      <c r="Y205" s="287" t="s">
        <v>1531</v>
      </c>
      <c r="Z205" t="str">
        <f>IFERROR(VLOOKUP(ROWS($Z$3:Z205),$X$3:$Y$718,2,0),"")</f>
        <v>Výroba optických a fotografických přístrojů a zařízení</v>
      </c>
    </row>
    <row r="206" spans="1:26">
      <c r="J206" s="296" t="s">
        <v>1532</v>
      </c>
      <c r="K206" s="285" t="s">
        <v>1533</v>
      </c>
      <c r="M206" s="286">
        <f>IF(ISNUMBER(SEARCH(ZAKL_DATA!$B$29,N206)),MAX($M$2:M205)+1,0)</f>
        <v>204</v>
      </c>
      <c r="N206" s="791" t="s">
        <v>3455</v>
      </c>
      <c r="O206" s="791" t="s">
        <v>3456</v>
      </c>
      <c r="Q206" s="288" t="str">
        <f>IFERROR(VLOOKUP(ROWS($Q$3:Q206),$M$3:$N$718,2,0),"")</f>
        <v>Opravy a údržba vojenských lodí a člunů</v>
      </c>
      <c r="R206">
        <f>IF(ISNUMBER(SEARCH('1Př1'!$A$32,N206)),MAX($M$2:M205)+1,0)</f>
        <v>204</v>
      </c>
      <c r="S206" s="287" t="s">
        <v>1534</v>
      </c>
      <c r="T206" t="str">
        <f>IFERROR(VLOOKUP(ROWS($T$3:T206),$R$3:$S$718,2,0),"")</f>
        <v>Výroba magnetických a optických médií</v>
      </c>
      <c r="U206">
        <f>IF(ISNUMBER(SEARCH('1Př1'!$A$33,N206)),MAX($M$2:M205)+1,0)</f>
        <v>204</v>
      </c>
      <c r="V206" s="287" t="s">
        <v>1534</v>
      </c>
      <c r="W206" t="str">
        <f>IFERROR(VLOOKUP(ROWS($W$3:W206),$U$3:$V$718,2,0),"")</f>
        <v>Výroba magnetických a optických médií</v>
      </c>
      <c r="X206">
        <f>IF(ISNUMBER(SEARCH('1Př1'!$A$34,N206)),MAX($M$2:M205)+1,0)</f>
        <v>204</v>
      </c>
      <c r="Y206" s="287" t="s">
        <v>1534</v>
      </c>
      <c r="Z206" t="str">
        <f>IFERROR(VLOOKUP(ROWS($Z$3:Z206),$X$3:$Y$718,2,0),"")</f>
        <v>Výroba magnetických a optických médií</v>
      </c>
    </row>
    <row r="207" spans="1:26" ht="25.5">
      <c r="J207" s="296" t="s">
        <v>1535</v>
      </c>
      <c r="K207" s="285" t="s">
        <v>1536</v>
      </c>
      <c r="M207" s="286">
        <f>IF(ISNUMBER(SEARCH(ZAKL_DATA!$B$29,N207)),MAX($M$2:M206)+1,0)</f>
        <v>205</v>
      </c>
      <c r="N207" s="791" t="s">
        <v>3457</v>
      </c>
      <c r="O207" s="791" t="s">
        <v>3458</v>
      </c>
      <c r="Q207" s="288" t="str">
        <f>IFERROR(VLOOKUP(ROWS($Q$3:Q207),$M$3:$N$718,2,0),"")</f>
        <v>Opravy a údržba výrobků pro osobní potřebu a převážně pro domácnost j. n.</v>
      </c>
      <c r="R207">
        <f>IF(ISNUMBER(SEARCH('1Př1'!$A$32,N207)),MAX($M$2:M206)+1,0)</f>
        <v>205</v>
      </c>
      <c r="S207" s="287" t="s">
        <v>1537</v>
      </c>
      <c r="T207" t="str">
        <f>IFERROR(VLOOKUP(ROWS($T$3:T207),$R$3:$S$718,2,0),"")</f>
        <v>Výroba elektr.motorů,generátorů,transformátorů a elektr.rozvod.a kontrol.z.</v>
      </c>
      <c r="U207">
        <f>IF(ISNUMBER(SEARCH('1Př1'!$A$33,N207)),MAX($M$2:M206)+1,0)</f>
        <v>205</v>
      </c>
      <c r="V207" s="287" t="s">
        <v>1537</v>
      </c>
      <c r="W207" t="str">
        <f>IFERROR(VLOOKUP(ROWS($W$3:W207),$U$3:$V$718,2,0),"")</f>
        <v>Výroba elektr.motorů,generátorů,transformátorů a elektr.rozvod.a kontrol.z.</v>
      </c>
      <c r="X207">
        <f>IF(ISNUMBER(SEARCH('1Př1'!$A$34,N207)),MAX($M$2:M206)+1,0)</f>
        <v>205</v>
      </c>
      <c r="Y207" s="287" t="s">
        <v>1537</v>
      </c>
      <c r="Z207" t="str">
        <f>IFERROR(VLOOKUP(ROWS($Z$3:Z207),$X$3:$Y$718,2,0),"")</f>
        <v>Výroba elektr.motorů,generátorů,transformátorů a elektr.rozvod.a kontrol.z.</v>
      </c>
    </row>
    <row r="208" spans="1:26" ht="25.5">
      <c r="J208" s="296" t="s">
        <v>1538</v>
      </c>
      <c r="K208" s="285" t="s">
        <v>1539</v>
      </c>
      <c r="M208" s="286">
        <f>IF(ISNUMBER(SEARCH(ZAKL_DATA!$B$29,N208)),MAX($M$2:M207)+1,0)</f>
        <v>206</v>
      </c>
      <c r="N208" s="791" t="s">
        <v>3459</v>
      </c>
      <c r="O208" s="791" t="s">
        <v>3460</v>
      </c>
      <c r="Q208" s="288" t="str">
        <f>IFERROR(VLOOKUP(ROWS($Q$3:Q208),$M$3:$N$718,2,0),"")</f>
        <v>Osobní doprava visutými lanovkami a lyžařskými vleky</v>
      </c>
      <c r="R208">
        <f>IF(ISNUMBER(SEARCH('1Př1'!$A$32,N208)),MAX($M$2:M207)+1,0)</f>
        <v>206</v>
      </c>
      <c r="S208" s="287" t="s">
        <v>1540</v>
      </c>
      <c r="T208" t="str">
        <f>IFERROR(VLOOKUP(ROWS($T$3:T208),$R$3:$S$718,2,0),"")</f>
        <v>Výroba baterií a akumulátorů</v>
      </c>
      <c r="U208">
        <f>IF(ISNUMBER(SEARCH('1Př1'!$A$33,N208)),MAX($M$2:M207)+1,0)</f>
        <v>206</v>
      </c>
      <c r="V208" s="287" t="s">
        <v>1540</v>
      </c>
      <c r="W208" t="str">
        <f>IFERROR(VLOOKUP(ROWS($W$3:W208),$U$3:$V$718,2,0),"")</f>
        <v>Výroba baterií a akumulátorů</v>
      </c>
      <c r="X208">
        <f>IF(ISNUMBER(SEARCH('1Př1'!$A$34,N208)),MAX($M$2:M207)+1,0)</f>
        <v>206</v>
      </c>
      <c r="Y208" s="287" t="s">
        <v>1540</v>
      </c>
      <c r="Z208" t="str">
        <f>IFERROR(VLOOKUP(ROWS($Z$3:Z208),$X$3:$Y$718,2,0),"")</f>
        <v>Výroba baterií a akumulátorů</v>
      </c>
    </row>
    <row r="209" spans="10:26">
      <c r="J209" s="296" t="s">
        <v>1541</v>
      </c>
      <c r="K209" s="285" t="s">
        <v>1542</v>
      </c>
      <c r="M209" s="286">
        <f>IF(ISNUMBER(SEARCH(ZAKL_DATA!$B$29,N209)),MAX($M$2:M208)+1,0)</f>
        <v>207</v>
      </c>
      <c r="N209" s="791" t="s">
        <v>3461</v>
      </c>
      <c r="O209" s="791" t="s">
        <v>3462</v>
      </c>
      <c r="Q209" s="288" t="str">
        <f>IFERROR(VLOOKUP(ROWS($Q$3:Q209),$M$3:$N$718,2,0),"")</f>
        <v>Osobní doprava vozidlem s řidičem na vyžádání</v>
      </c>
      <c r="R209">
        <f>IF(ISNUMBER(SEARCH('1Př1'!$A$32,N209)),MAX($M$2:M208)+1,0)</f>
        <v>207</v>
      </c>
      <c r="S209" s="287" t="s">
        <v>1543</v>
      </c>
      <c r="T209" t="str">
        <f>IFERROR(VLOOKUP(ROWS($T$3:T209),$R$3:$S$718,2,0),"")</f>
        <v>Výroba optických a elektr.kabelů,elektr.vodičů a elektroinstal.zařízení</v>
      </c>
      <c r="U209">
        <f>IF(ISNUMBER(SEARCH('1Př1'!$A$33,N209)),MAX($M$2:M208)+1,0)</f>
        <v>207</v>
      </c>
      <c r="V209" s="287" t="s">
        <v>1543</v>
      </c>
      <c r="W209" t="str">
        <f>IFERROR(VLOOKUP(ROWS($W$3:W209),$U$3:$V$718,2,0),"")</f>
        <v>Výroba optických a elektr.kabelů,elektr.vodičů a elektroinstal.zařízení</v>
      </c>
      <c r="X209">
        <f>IF(ISNUMBER(SEARCH('1Př1'!$A$34,N209)),MAX($M$2:M208)+1,0)</f>
        <v>207</v>
      </c>
      <c r="Y209" s="287" t="s">
        <v>1543</v>
      </c>
      <c r="Z209" t="str">
        <f>IFERROR(VLOOKUP(ROWS($Z$3:Z209),$X$3:$Y$718,2,0),"")</f>
        <v>Výroba optických a elektr.kabelů,elektr.vodičů a elektroinstal.zařízení</v>
      </c>
    </row>
    <row r="210" spans="10:26" ht="25.5">
      <c r="J210" s="296" t="s">
        <v>1544</v>
      </c>
      <c r="K210" s="285" t="s">
        <v>1545</v>
      </c>
      <c r="M210" s="286">
        <f>IF(ISNUMBER(SEARCH(ZAKL_DATA!$B$29,N210)),MAX($M$2:M209)+1,0)</f>
        <v>208</v>
      </c>
      <c r="N210" s="791" t="s">
        <v>2182</v>
      </c>
      <c r="O210" s="791" t="s">
        <v>3463</v>
      </c>
      <c r="Q210" s="288" t="str">
        <f>IFERROR(VLOOKUP(ROWS($Q$3:Q210),$M$3:$N$718,2,0),"")</f>
        <v>Ostatní ambulantní nebo terénní sociální služby j. n.</v>
      </c>
      <c r="R210">
        <f>IF(ISNUMBER(SEARCH('1Př1'!$A$32,N210)),MAX($M$2:M209)+1,0)</f>
        <v>208</v>
      </c>
      <c r="S210" s="287" t="s">
        <v>1546</v>
      </c>
      <c r="T210" t="str">
        <f>IFERROR(VLOOKUP(ROWS($T$3:T210),$R$3:$S$718,2,0),"")</f>
        <v>Výroba elektrických osvětlovacích zařízení</v>
      </c>
      <c r="U210">
        <f>IF(ISNUMBER(SEARCH('1Př1'!$A$33,N210)),MAX($M$2:M209)+1,0)</f>
        <v>208</v>
      </c>
      <c r="V210" s="287" t="s">
        <v>1546</v>
      </c>
      <c r="W210" t="str">
        <f>IFERROR(VLOOKUP(ROWS($W$3:W210),$U$3:$V$718,2,0),"")</f>
        <v>Výroba elektrických osvětlovacích zařízení</v>
      </c>
      <c r="X210">
        <f>IF(ISNUMBER(SEARCH('1Př1'!$A$34,N210)),MAX($M$2:M209)+1,0)</f>
        <v>208</v>
      </c>
      <c r="Y210" s="287" t="s">
        <v>1546</v>
      </c>
      <c r="Z210" t="str">
        <f>IFERROR(VLOOKUP(ROWS($Z$3:Z210),$X$3:$Y$718,2,0),"")</f>
        <v>Výroba elektrických osvětlovacích zařízení</v>
      </c>
    </row>
    <row r="211" spans="10:26">
      <c r="J211" s="296" t="s">
        <v>1547</v>
      </c>
      <c r="K211" s="285" t="s">
        <v>1548</v>
      </c>
      <c r="M211" s="286">
        <f>IF(ISNUMBER(SEARCH(ZAKL_DATA!$B$29,N211)),MAX($M$2:M210)+1,0)</f>
        <v>209</v>
      </c>
      <c r="N211" s="791" t="s">
        <v>3464</v>
      </c>
      <c r="O211" s="791" t="s">
        <v>3465</v>
      </c>
      <c r="Q211" s="288" t="str">
        <f>IFERROR(VLOOKUP(ROWS($Q$3:Q211),$M$3:$N$718,2,0),"")</f>
        <v>Ostatní činnosti související s distribucí obsahu</v>
      </c>
      <c r="R211">
        <f>IF(ISNUMBER(SEARCH('1Př1'!$A$32,N211)),MAX($M$2:M210)+1,0)</f>
        <v>209</v>
      </c>
      <c r="S211" s="287" t="s">
        <v>1549</v>
      </c>
      <c r="T211" t="str">
        <f>IFERROR(VLOOKUP(ROWS($T$3:T211),$R$3:$S$718,2,0),"")</f>
        <v>Výroba spotřebičů převážně pro domácnost</v>
      </c>
      <c r="U211">
        <f>IF(ISNUMBER(SEARCH('1Př1'!$A$33,N211)),MAX($M$2:M210)+1,0)</f>
        <v>209</v>
      </c>
      <c r="V211" s="287" t="s">
        <v>1549</v>
      </c>
      <c r="W211" t="str">
        <f>IFERROR(VLOOKUP(ROWS($W$3:W211),$U$3:$V$718,2,0),"")</f>
        <v>Výroba spotřebičů převážně pro domácnost</v>
      </c>
      <c r="X211">
        <f>IF(ISNUMBER(SEARCH('1Př1'!$A$34,N211)),MAX($M$2:M210)+1,0)</f>
        <v>209</v>
      </c>
      <c r="Y211" s="287" t="s">
        <v>1549</v>
      </c>
      <c r="Z211" t="str">
        <f>IFERROR(VLOOKUP(ROWS($Z$3:Z211),$X$3:$Y$718,2,0),"")</f>
        <v>Výroba spotřebičů převážně pro domácnost</v>
      </c>
    </row>
    <row r="212" spans="10:26">
      <c r="J212" s="295" t="s">
        <v>1550</v>
      </c>
      <c r="K212" s="285" t="s">
        <v>1551</v>
      </c>
      <c r="M212" s="286">
        <f>IF(ISNUMBER(SEARCH(ZAKL_DATA!$B$29,N212)),MAX($M$2:M211)+1,0)</f>
        <v>210</v>
      </c>
      <c r="N212" s="791" t="s">
        <v>2204</v>
      </c>
      <c r="O212" s="791" t="s">
        <v>3466</v>
      </c>
      <c r="Q212" s="288" t="str">
        <f>IFERROR(VLOOKUP(ROWS($Q$3:Q212),$M$3:$N$718,2,0),"")</f>
        <v>Ostatní činnosti související se zdravotní péčí j. n.</v>
      </c>
      <c r="R212">
        <f>IF(ISNUMBER(SEARCH('1Př1'!$A$32,N212)),MAX($M$2:M211)+1,0)</f>
        <v>210</v>
      </c>
      <c r="S212" s="287" t="s">
        <v>1552</v>
      </c>
      <c r="T212" t="str">
        <f>IFERROR(VLOOKUP(ROWS($T$3:T212),$R$3:$S$718,2,0),"")</f>
        <v>Výroba ostatních elektrických zařízení</v>
      </c>
      <c r="U212">
        <f>IF(ISNUMBER(SEARCH('1Př1'!$A$33,N212)),MAX($M$2:M211)+1,0)</f>
        <v>210</v>
      </c>
      <c r="V212" s="287" t="s">
        <v>1552</v>
      </c>
      <c r="W212" t="str">
        <f>IFERROR(VLOOKUP(ROWS($W$3:W212),$U$3:$V$718,2,0),"")</f>
        <v>Výroba ostatních elektrických zařízení</v>
      </c>
      <c r="X212">
        <f>IF(ISNUMBER(SEARCH('1Př1'!$A$34,N212)),MAX($M$2:M211)+1,0)</f>
        <v>210</v>
      </c>
      <c r="Y212" s="287" t="s">
        <v>1552</v>
      </c>
      <c r="Z212" t="str">
        <f>IFERROR(VLOOKUP(ROWS($Z$3:Z212),$X$3:$Y$718,2,0),"")</f>
        <v>Výroba ostatních elektrických zařízení</v>
      </c>
    </row>
    <row r="213" spans="10:26" ht="25.5">
      <c r="J213" s="296" t="s">
        <v>1553</v>
      </c>
      <c r="K213" s="285" t="s">
        <v>1554</v>
      </c>
      <c r="M213" s="286">
        <f>IF(ISNUMBER(SEARCH(ZAKL_DATA!$B$29,N213)),MAX($M$2:M212)+1,0)</f>
        <v>211</v>
      </c>
      <c r="N213" s="791" t="s">
        <v>3467</v>
      </c>
      <c r="O213" s="791" t="s">
        <v>3468</v>
      </c>
      <c r="Q213" s="288" t="str">
        <f>IFERROR(VLOOKUP(ROWS($Q$3:Q213),$M$3:$N$718,2,0),"")</f>
        <v>Ostatní činnosti v oblasti informačních technologií a počítačů</v>
      </c>
      <c r="R213">
        <f>IF(ISNUMBER(SEARCH('1Př1'!$A$32,N213)),MAX($M$2:M212)+1,0)</f>
        <v>211</v>
      </c>
      <c r="S213" s="287" t="s">
        <v>1555</v>
      </c>
      <c r="T213" t="str">
        <f>IFERROR(VLOOKUP(ROWS($T$3:T213),$R$3:$S$718,2,0),"")</f>
        <v>Výroba strojů a zařízení pro všeobecné účely</v>
      </c>
      <c r="U213">
        <f>IF(ISNUMBER(SEARCH('1Př1'!$A$33,N213)),MAX($M$2:M212)+1,0)</f>
        <v>211</v>
      </c>
      <c r="V213" s="287" t="s">
        <v>1555</v>
      </c>
      <c r="W213" t="str">
        <f>IFERROR(VLOOKUP(ROWS($W$3:W213),$U$3:$V$718,2,0),"")</f>
        <v>Výroba strojů a zařízení pro všeobecné účely</v>
      </c>
      <c r="X213">
        <f>IF(ISNUMBER(SEARCH('1Př1'!$A$34,N213)),MAX($M$2:M212)+1,0)</f>
        <v>211</v>
      </c>
      <c r="Y213" s="287" t="s">
        <v>1555</v>
      </c>
      <c r="Z213" t="str">
        <f>IFERROR(VLOOKUP(ROWS($Z$3:Z213),$X$3:$Y$718,2,0),"")</f>
        <v>Výroba strojů a zařízení pro všeobecné účely</v>
      </c>
    </row>
    <row r="214" spans="10:26" ht="25.5">
      <c r="J214" s="295" t="s">
        <v>1556</v>
      </c>
      <c r="K214" s="285" t="s">
        <v>1557</v>
      </c>
      <c r="M214" s="286">
        <f>IF(ISNUMBER(SEARCH(ZAKL_DATA!$B$29,N214)),MAX($M$2:M213)+1,0)</f>
        <v>212</v>
      </c>
      <c r="N214" s="791" t="s">
        <v>3469</v>
      </c>
      <c r="O214" s="791" t="s">
        <v>3470</v>
      </c>
      <c r="Q214" s="288" t="str">
        <f>IFERROR(VLOOKUP(ROWS($Q$3:Q214),$M$3:$N$718,2,0),"")</f>
        <v>Ostatní činnosti v oblasti nemovitostí na základě smlouvy nebo dohody</v>
      </c>
      <c r="R214">
        <f>IF(ISNUMBER(SEARCH('1Př1'!$A$32,N214)),MAX($M$2:M213)+1,0)</f>
        <v>212</v>
      </c>
      <c r="S214" s="287" t="s">
        <v>1558</v>
      </c>
      <c r="T214" t="str">
        <f>IFERROR(VLOOKUP(ROWS($T$3:T214),$R$3:$S$718,2,0),"")</f>
        <v>Výroba ostatních strojů a zařízení pro všeobecné účely</v>
      </c>
      <c r="U214">
        <f>IF(ISNUMBER(SEARCH('1Př1'!$A$33,N214)),MAX($M$2:M213)+1,0)</f>
        <v>212</v>
      </c>
      <c r="V214" s="287" t="s">
        <v>1558</v>
      </c>
      <c r="W214" t="str">
        <f>IFERROR(VLOOKUP(ROWS($W$3:W214),$U$3:$V$718,2,0),"")</f>
        <v>Výroba ostatních strojů a zařízení pro všeobecné účely</v>
      </c>
      <c r="X214">
        <f>IF(ISNUMBER(SEARCH('1Př1'!$A$34,N214)),MAX($M$2:M213)+1,0)</f>
        <v>212</v>
      </c>
      <c r="Y214" s="287" t="s">
        <v>1558</v>
      </c>
      <c r="Z214" t="str">
        <f>IFERROR(VLOOKUP(ROWS($Z$3:Z214),$X$3:$Y$718,2,0),"")</f>
        <v>Výroba ostatních strojů a zařízení pro všeobecné účely</v>
      </c>
    </row>
    <row r="215" spans="10:26">
      <c r="J215" s="295" t="s">
        <v>1559</v>
      </c>
      <c r="K215" s="285" t="s">
        <v>1560</v>
      </c>
      <c r="M215" s="286">
        <f>IF(ISNUMBER(SEARCH(ZAKL_DATA!$B$29,N215)),MAX($M$2:M214)+1,0)</f>
        <v>213</v>
      </c>
      <c r="N215" s="791" t="s">
        <v>1729</v>
      </c>
      <c r="O215" s="791" t="s">
        <v>3471</v>
      </c>
      <c r="Q215" s="288" t="str">
        <f>IFERROR(VLOOKUP(ROWS($Q$3:Q215),$M$3:$N$718,2,0),"")</f>
        <v>Ostatní informační činnosti</v>
      </c>
      <c r="R215">
        <f>IF(ISNUMBER(SEARCH('1Př1'!$A$32,N215)),MAX($M$2:M214)+1,0)</f>
        <v>213</v>
      </c>
      <c r="S215" s="287" t="s">
        <v>1561</v>
      </c>
      <c r="T215" t="str">
        <f>IFERROR(VLOOKUP(ROWS($T$3:T215),$R$3:$S$718,2,0),"")</f>
        <v>Výroba zemědělských a lesnických strojů</v>
      </c>
      <c r="U215">
        <f>IF(ISNUMBER(SEARCH('1Př1'!$A$33,N215)),MAX($M$2:M214)+1,0)</f>
        <v>213</v>
      </c>
      <c r="V215" s="287" t="s">
        <v>1561</v>
      </c>
      <c r="W215" t="str">
        <f>IFERROR(VLOOKUP(ROWS($W$3:W215),$U$3:$V$718,2,0),"")</f>
        <v>Výroba zemědělských a lesnických strojů</v>
      </c>
      <c r="X215">
        <f>IF(ISNUMBER(SEARCH('1Př1'!$A$34,N215)),MAX($M$2:M214)+1,0)</f>
        <v>213</v>
      </c>
      <c r="Y215" s="287" t="s">
        <v>1561</v>
      </c>
      <c r="Z215" t="str">
        <f>IFERROR(VLOOKUP(ROWS($Z$3:Z215),$X$3:$Y$718,2,0),"")</f>
        <v>Výroba zemědělských a lesnických strojů</v>
      </c>
    </row>
    <row r="216" spans="10:26">
      <c r="J216" s="296" t="s">
        <v>1562</v>
      </c>
      <c r="K216" s="285" t="s">
        <v>1563</v>
      </c>
      <c r="M216" s="286">
        <f>IF(ISNUMBER(SEARCH(ZAKL_DATA!$B$29,N216)),MAX($M$2:M215)+1,0)</f>
        <v>214</v>
      </c>
      <c r="N216" s="791" t="s">
        <v>3472</v>
      </c>
      <c r="O216" s="791" t="s">
        <v>3473</v>
      </c>
      <c r="Q216" s="288" t="str">
        <f>IFERROR(VLOOKUP(ROWS($Q$3:Q216),$M$3:$N$718,2,0),"")</f>
        <v>Ostatní kolejová osobní doprava</v>
      </c>
      <c r="R216">
        <f>IF(ISNUMBER(SEARCH('1Př1'!$A$32,N216)),MAX($M$2:M215)+1,0)</f>
        <v>214</v>
      </c>
      <c r="S216" s="287" t="s">
        <v>1564</v>
      </c>
      <c r="T216" t="str">
        <f>IFERROR(VLOOKUP(ROWS($T$3:T216),$R$3:$S$718,2,0),"")</f>
        <v>Výroba kovoobráběcích a ostatních obráběcích strojů</v>
      </c>
      <c r="U216">
        <f>IF(ISNUMBER(SEARCH('1Př1'!$A$33,N216)),MAX($M$2:M215)+1,0)</f>
        <v>214</v>
      </c>
      <c r="V216" s="287" t="s">
        <v>1564</v>
      </c>
      <c r="W216" t="str">
        <f>IFERROR(VLOOKUP(ROWS($W$3:W216),$U$3:$V$718,2,0),"")</f>
        <v>Výroba kovoobráběcích a ostatních obráběcích strojů</v>
      </c>
      <c r="X216">
        <f>IF(ISNUMBER(SEARCH('1Př1'!$A$34,N216)),MAX($M$2:M215)+1,0)</f>
        <v>214</v>
      </c>
      <c r="Y216" s="287" t="s">
        <v>1564</v>
      </c>
      <c r="Z216" t="str">
        <f>IFERROR(VLOOKUP(ROWS($Z$3:Z216),$X$3:$Y$718,2,0),"")</f>
        <v>Výroba kovoobráběcích a ostatních obráběcích strojů</v>
      </c>
    </row>
    <row r="217" spans="10:26">
      <c r="J217" s="296" t="s">
        <v>1565</v>
      </c>
      <c r="K217" s="285" t="s">
        <v>1566</v>
      </c>
      <c r="M217" s="286">
        <f>IF(ISNUMBER(SEARCH(ZAKL_DATA!$B$29,N217)),MAX($M$2:M216)+1,0)</f>
        <v>215</v>
      </c>
      <c r="N217" s="791" t="s">
        <v>3474</v>
      </c>
      <c r="O217" s="791" t="s">
        <v>3475</v>
      </c>
      <c r="Q217" s="288" t="str">
        <f>IFERROR(VLOOKUP(ROWS($Q$3:Q217),$M$3:$N$718,2,0),"")</f>
        <v>Ostatní kompletační a dokončovací stavební práce</v>
      </c>
      <c r="R217">
        <f>IF(ISNUMBER(SEARCH('1Př1'!$A$32,N217)),MAX($M$2:M216)+1,0)</f>
        <v>215</v>
      </c>
      <c r="S217" s="287" t="s">
        <v>1567</v>
      </c>
      <c r="T217" t="str">
        <f>IFERROR(VLOOKUP(ROWS($T$3:T217),$R$3:$S$718,2,0),"")</f>
        <v>Výroba ostatních strojů pro speciální účely</v>
      </c>
      <c r="U217">
        <f>IF(ISNUMBER(SEARCH('1Př1'!$A$33,N217)),MAX($M$2:M216)+1,0)</f>
        <v>215</v>
      </c>
      <c r="V217" s="287" t="s">
        <v>1567</v>
      </c>
      <c r="W217" t="str">
        <f>IFERROR(VLOOKUP(ROWS($W$3:W217),$U$3:$V$718,2,0),"")</f>
        <v>Výroba ostatních strojů pro speciální účely</v>
      </c>
      <c r="X217">
        <f>IF(ISNUMBER(SEARCH('1Př1'!$A$34,N217)),MAX($M$2:M216)+1,0)</f>
        <v>215</v>
      </c>
      <c r="Y217" s="287" t="s">
        <v>1567</v>
      </c>
      <c r="Z217" t="str">
        <f>IFERROR(VLOOKUP(ROWS($Z$3:Z217),$X$3:$Y$718,2,0),"")</f>
        <v>Výroba ostatních strojů pro speciální účely</v>
      </c>
    </row>
    <row r="218" spans="10:26">
      <c r="J218" s="296" t="s">
        <v>1568</v>
      </c>
      <c r="K218" s="285" t="s">
        <v>1569</v>
      </c>
      <c r="M218" s="286">
        <f>IF(ISNUMBER(SEARCH(ZAKL_DATA!$B$29,N218)),MAX($M$2:M217)+1,0)</f>
        <v>216</v>
      </c>
      <c r="N218" s="791" t="s">
        <v>3476</v>
      </c>
      <c r="O218" s="791" t="s">
        <v>3477</v>
      </c>
      <c r="Q218" s="288" t="str">
        <f>IFERROR(VLOOKUP(ROWS($Q$3:Q218),$M$3:$N$718,2,0),"")</f>
        <v>Ostatní nespecializovaný maloobchod</v>
      </c>
      <c r="R218">
        <f>IF(ISNUMBER(SEARCH('1Př1'!$A$32,N218)),MAX($M$2:M217)+1,0)</f>
        <v>216</v>
      </c>
      <c r="S218" s="287" t="s">
        <v>1570</v>
      </c>
      <c r="T218" t="str">
        <f>IFERROR(VLOOKUP(ROWS($T$3:T218),$R$3:$S$718,2,0),"")</f>
        <v>Výroba motorových vozidel a jejich motorů</v>
      </c>
      <c r="U218">
        <f>IF(ISNUMBER(SEARCH('1Př1'!$A$33,N218)),MAX($M$2:M217)+1,0)</f>
        <v>216</v>
      </c>
      <c r="V218" s="287" t="s">
        <v>1570</v>
      </c>
      <c r="W218" t="str">
        <f>IFERROR(VLOOKUP(ROWS($W$3:W218),$U$3:$V$718,2,0),"")</f>
        <v>Výroba motorových vozidel a jejich motorů</v>
      </c>
      <c r="X218">
        <f>IF(ISNUMBER(SEARCH('1Př1'!$A$34,N218)),MAX($M$2:M217)+1,0)</f>
        <v>216</v>
      </c>
      <c r="Y218" s="287" t="s">
        <v>1570</v>
      </c>
      <c r="Z218" t="str">
        <f>IFERROR(VLOOKUP(ROWS($Z$3:Z218),$X$3:$Y$718,2,0),"")</f>
        <v>Výroba motorových vozidel a jejich motorů</v>
      </c>
    </row>
    <row r="219" spans="10:26">
      <c r="J219" s="296" t="s">
        <v>1571</v>
      </c>
      <c r="K219" s="285" t="s">
        <v>1572</v>
      </c>
      <c r="M219" s="286">
        <f>IF(ISNUMBER(SEARCH(ZAKL_DATA!$B$29,N219)),MAX($M$2:M218)+1,0)</f>
        <v>217</v>
      </c>
      <c r="N219" s="791" t="s">
        <v>3478</v>
      </c>
      <c r="O219" s="791" t="s">
        <v>3479</v>
      </c>
      <c r="Q219" s="288" t="str">
        <f>IFERROR(VLOOKUP(ROWS($Q$3:Q219),$M$3:$N$718,2,0),"")</f>
        <v>Ostatní odstraňování odpadů</v>
      </c>
      <c r="R219">
        <f>IF(ISNUMBER(SEARCH('1Př1'!$A$32,N219)),MAX($M$2:M218)+1,0)</f>
        <v>217</v>
      </c>
      <c r="S219" s="287" t="s">
        <v>1573</v>
      </c>
      <c r="T219" t="str">
        <f>IFERROR(VLOOKUP(ROWS($T$3:T219),$R$3:$S$718,2,0),"")</f>
        <v>Výroba karoserií motorových vozidel; výroba přívěsů a návěsů</v>
      </c>
      <c r="U219">
        <f>IF(ISNUMBER(SEARCH('1Př1'!$A$33,N219)),MAX($M$2:M218)+1,0)</f>
        <v>217</v>
      </c>
      <c r="V219" s="287" t="s">
        <v>1573</v>
      </c>
      <c r="W219" t="str">
        <f>IFERROR(VLOOKUP(ROWS($W$3:W219),$U$3:$V$718,2,0),"")</f>
        <v>Výroba karoserií motorových vozidel; výroba přívěsů a návěsů</v>
      </c>
      <c r="X219">
        <f>IF(ISNUMBER(SEARCH('1Př1'!$A$34,N219)),MAX($M$2:M218)+1,0)</f>
        <v>217</v>
      </c>
      <c r="Y219" s="287" t="s">
        <v>1573</v>
      </c>
      <c r="Z219" t="str">
        <f>IFERROR(VLOOKUP(ROWS($Z$3:Z219),$X$3:$Y$718,2,0),"")</f>
        <v>Výroba karoserií motorových vozidel; výroba přívěsů a návěsů</v>
      </c>
    </row>
    <row r="220" spans="10:26">
      <c r="J220" s="296" t="s">
        <v>1574</v>
      </c>
      <c r="K220" s="285" t="s">
        <v>1575</v>
      </c>
      <c r="M220" s="286">
        <f>IF(ISNUMBER(SEARCH(ZAKL_DATA!$B$29,N220)),MAX($M$2:M219)+1,0)</f>
        <v>218</v>
      </c>
      <c r="N220" s="791" t="s">
        <v>2144</v>
      </c>
      <c r="O220" s="791" t="s">
        <v>3480</v>
      </c>
      <c r="Q220" s="288" t="str">
        <f>IFERROR(VLOOKUP(ROWS($Q$3:Q220),$M$3:$N$718,2,0),"")</f>
        <v>Ostatní peněžní zprostředkování</v>
      </c>
      <c r="R220">
        <f>IF(ISNUMBER(SEARCH('1Př1'!$A$32,N220)),MAX($M$2:M219)+1,0)</f>
        <v>218</v>
      </c>
      <c r="S220" s="287" t="s">
        <v>1576</v>
      </c>
      <c r="T220" t="str">
        <f>IFERROR(VLOOKUP(ROWS($T$3:T220),$R$3:$S$718,2,0),"")</f>
        <v>Výroba dílů a příslušenství pro motorová vozidla a jejich motory</v>
      </c>
      <c r="U220">
        <f>IF(ISNUMBER(SEARCH('1Př1'!$A$33,N220)),MAX($M$2:M219)+1,0)</f>
        <v>218</v>
      </c>
      <c r="V220" s="287" t="s">
        <v>1576</v>
      </c>
      <c r="W220" t="str">
        <f>IFERROR(VLOOKUP(ROWS($W$3:W220),$U$3:$V$718,2,0),"")</f>
        <v>Výroba dílů a příslušenství pro motorová vozidla a jejich motory</v>
      </c>
      <c r="X220">
        <f>IF(ISNUMBER(SEARCH('1Př1'!$A$34,N220)),MAX($M$2:M219)+1,0)</f>
        <v>218</v>
      </c>
      <c r="Y220" s="287" t="s">
        <v>1576</v>
      </c>
      <c r="Z220" t="str">
        <f>IFERROR(VLOOKUP(ROWS($Z$3:Z220),$X$3:$Y$718,2,0),"")</f>
        <v>Výroba dílů a příslušenství pro motorová vozidla a jejich motory</v>
      </c>
    </row>
    <row r="221" spans="10:26">
      <c r="J221" s="296" t="s">
        <v>1577</v>
      </c>
      <c r="K221" s="285" t="s">
        <v>1578</v>
      </c>
      <c r="M221" s="286">
        <f>IF(ISNUMBER(SEARCH(ZAKL_DATA!$B$29,N221)),MAX($M$2:M220)+1,0)</f>
        <v>219</v>
      </c>
      <c r="N221" s="791" t="s">
        <v>3481</v>
      </c>
      <c r="O221" s="791" t="s">
        <v>3482</v>
      </c>
      <c r="Q221" s="288" t="str">
        <f>IFERROR(VLOOKUP(ROWS($Q$3:Q221),$M$3:$N$718,2,0),"")</f>
        <v>Ostatní pobytové služby sociální péče j. n.</v>
      </c>
      <c r="R221">
        <f>IF(ISNUMBER(SEARCH('1Př1'!$A$32,N221)),MAX($M$2:M220)+1,0)</f>
        <v>219</v>
      </c>
      <c r="S221" s="287" t="s">
        <v>1579</v>
      </c>
      <c r="T221" t="str">
        <f>IFERROR(VLOOKUP(ROWS($T$3:T221),$R$3:$S$718,2,0),"")</f>
        <v>Stavba lodí a člunů</v>
      </c>
      <c r="U221">
        <f>IF(ISNUMBER(SEARCH('1Př1'!$A$33,N221)),MAX($M$2:M220)+1,0)</f>
        <v>219</v>
      </c>
      <c r="V221" s="287" t="s">
        <v>1579</v>
      </c>
      <c r="W221" t="str">
        <f>IFERROR(VLOOKUP(ROWS($W$3:W221),$U$3:$V$718,2,0),"")</f>
        <v>Stavba lodí a člunů</v>
      </c>
      <c r="X221">
        <f>IF(ISNUMBER(SEARCH('1Př1'!$A$34,N221)),MAX($M$2:M220)+1,0)</f>
        <v>219</v>
      </c>
      <c r="Y221" s="287" t="s">
        <v>1579</v>
      </c>
      <c r="Z221" t="str">
        <f>IFERROR(VLOOKUP(ROWS($Z$3:Z221),$X$3:$Y$718,2,0),"")</f>
        <v>Stavba lodí a člunů</v>
      </c>
    </row>
    <row r="222" spans="10:26">
      <c r="J222" s="295" t="s">
        <v>1580</v>
      </c>
      <c r="K222" s="285" t="s">
        <v>1581</v>
      </c>
      <c r="M222" s="286">
        <f>IF(ISNUMBER(SEARCH(ZAKL_DATA!$B$29,N222)),MAX($M$2:M221)+1,0)</f>
        <v>220</v>
      </c>
      <c r="N222" s="791" t="s">
        <v>3483</v>
      </c>
      <c r="O222" s="791" t="s">
        <v>3484</v>
      </c>
      <c r="Q222" s="288" t="str">
        <f>IFERROR(VLOOKUP(ROWS($Q$3:Q222),$M$3:$N$718,2,0),"")</f>
        <v>Ostatní počítačové programování</v>
      </c>
      <c r="R222">
        <f>IF(ISNUMBER(SEARCH('1Př1'!$A$32,N222)),MAX($M$2:M221)+1,0)</f>
        <v>220</v>
      </c>
      <c r="S222" s="287" t="s">
        <v>1582</v>
      </c>
      <c r="T222" t="str">
        <f>IFERROR(VLOOKUP(ROWS($T$3:T222),$R$3:$S$718,2,0),"")</f>
        <v>Výroba železničních lokomotiv a vozového parku</v>
      </c>
      <c r="U222">
        <f>IF(ISNUMBER(SEARCH('1Př1'!$A$33,N222)),MAX($M$2:M221)+1,0)</f>
        <v>220</v>
      </c>
      <c r="V222" s="287" t="s">
        <v>1582</v>
      </c>
      <c r="W222" t="str">
        <f>IFERROR(VLOOKUP(ROWS($W$3:W222),$U$3:$V$718,2,0),"")</f>
        <v>Výroba železničních lokomotiv a vozového parku</v>
      </c>
      <c r="X222">
        <f>IF(ISNUMBER(SEARCH('1Př1'!$A$34,N222)),MAX($M$2:M221)+1,0)</f>
        <v>220</v>
      </c>
      <c r="Y222" s="287" t="s">
        <v>1582</v>
      </c>
      <c r="Z222" t="str">
        <f>IFERROR(VLOOKUP(ROWS($Z$3:Z222),$X$3:$Y$718,2,0),"")</f>
        <v>Výroba železničních lokomotiv a vozového parku</v>
      </c>
    </row>
    <row r="223" spans="10:26">
      <c r="J223" s="296" t="s">
        <v>1583</v>
      </c>
      <c r="K223" s="285" t="s">
        <v>1584</v>
      </c>
      <c r="M223" s="286">
        <f>IF(ISNUMBER(SEARCH(ZAKL_DATA!$B$29,N223)),MAX($M$2:M222)+1,0)</f>
        <v>221</v>
      </c>
      <c r="N223" s="791" t="s">
        <v>3485</v>
      </c>
      <c r="O223" s="791" t="s">
        <v>3486</v>
      </c>
      <c r="Q223" s="288" t="str">
        <f>IFERROR(VLOOKUP(ROWS($Q$3:Q223),$M$3:$N$718,2,0),"")</f>
        <v>Ostatní podpůrné činnosti pro dopravu</v>
      </c>
      <c r="R223">
        <f>IF(ISNUMBER(SEARCH('1Př1'!$A$32,N223)),MAX($M$2:M222)+1,0)</f>
        <v>221</v>
      </c>
      <c r="S223" s="287" t="s">
        <v>1585</v>
      </c>
      <c r="T223" t="str">
        <f>IFERROR(VLOOKUP(ROWS($T$3:T223),$R$3:$S$718,2,0),"")</f>
        <v>Výroba letadel a jejich motorů,kosmických lodí a souvisejících zařízení</v>
      </c>
      <c r="U223">
        <f>IF(ISNUMBER(SEARCH('1Př1'!$A$33,N223)),MAX($M$2:M222)+1,0)</f>
        <v>221</v>
      </c>
      <c r="V223" s="287" t="s">
        <v>1585</v>
      </c>
      <c r="W223" t="str">
        <f>IFERROR(VLOOKUP(ROWS($W$3:W223),$U$3:$V$718,2,0),"")</f>
        <v>Výroba letadel a jejich motorů,kosmických lodí a souvisejících zařízení</v>
      </c>
      <c r="X223">
        <f>IF(ISNUMBER(SEARCH('1Př1'!$A$34,N223)),MAX($M$2:M222)+1,0)</f>
        <v>221</v>
      </c>
      <c r="Y223" s="287" t="s">
        <v>1585</v>
      </c>
      <c r="Z223" t="str">
        <f>IFERROR(VLOOKUP(ROWS($Z$3:Z223),$X$3:$Y$718,2,0),"")</f>
        <v>Výroba letadel a jejich motorů,kosmických lodí a souvisejících zařízení</v>
      </c>
    </row>
    <row r="224" spans="10:26">
      <c r="J224" s="296" t="s">
        <v>1586</v>
      </c>
      <c r="K224" s="285" t="s">
        <v>1587</v>
      </c>
      <c r="M224" s="286">
        <f>IF(ISNUMBER(SEARCH(ZAKL_DATA!$B$29,N224)),MAX($M$2:M223)+1,0)</f>
        <v>222</v>
      </c>
      <c r="N224" s="791" t="s">
        <v>2170</v>
      </c>
      <c r="O224" s="791" t="s">
        <v>3487</v>
      </c>
      <c r="Q224" s="288" t="str">
        <f>IFERROR(VLOOKUP(ROWS($Q$3:Q224),$M$3:$N$718,2,0),"")</f>
        <v>Ostatní podpůrné činnosti pro podnikání j. n.</v>
      </c>
      <c r="R224">
        <f>IF(ISNUMBER(SEARCH('1Př1'!$A$32,N224)),MAX($M$2:M223)+1,0)</f>
        <v>222</v>
      </c>
      <c r="S224" s="287" t="s">
        <v>1588</v>
      </c>
      <c r="T224" t="str">
        <f>IFERROR(VLOOKUP(ROWS($T$3:T224),$R$3:$S$718,2,0),"")</f>
        <v>Výroba vojenských bojových vozidel</v>
      </c>
      <c r="U224">
        <f>IF(ISNUMBER(SEARCH('1Př1'!$A$33,N224)),MAX($M$2:M223)+1,0)</f>
        <v>222</v>
      </c>
      <c r="V224" s="287" t="s">
        <v>1588</v>
      </c>
      <c r="W224" t="str">
        <f>IFERROR(VLOOKUP(ROWS($W$3:W224),$U$3:$V$718,2,0),"")</f>
        <v>Výroba vojenských bojových vozidel</v>
      </c>
      <c r="X224">
        <f>IF(ISNUMBER(SEARCH('1Př1'!$A$34,N224)),MAX($M$2:M223)+1,0)</f>
        <v>222</v>
      </c>
      <c r="Y224" s="287" t="s">
        <v>1588</v>
      </c>
      <c r="Z224" t="str">
        <f>IFERROR(VLOOKUP(ROWS($Z$3:Z224),$X$3:$Y$718,2,0),"")</f>
        <v>Výroba vojenských bojových vozidel</v>
      </c>
    </row>
    <row r="225" spans="10:26" ht="25.5">
      <c r="J225" s="296" t="s">
        <v>1589</v>
      </c>
      <c r="K225" s="285" t="s">
        <v>1590</v>
      </c>
      <c r="M225" s="286">
        <f>IF(ISNUMBER(SEARCH(ZAKL_DATA!$B$29,N225)),MAX($M$2:M224)+1,0)</f>
        <v>223</v>
      </c>
      <c r="N225" s="791" t="s">
        <v>3488</v>
      </c>
      <c r="O225" s="791" t="s">
        <v>3489</v>
      </c>
      <c r="Q225" s="288" t="str">
        <f>IFERROR(VLOOKUP(ROWS($Q$3:Q225),$M$3:$N$718,2,0),"")</f>
        <v>Ostatní podpůrné činnosti pro uměleckou tvorbu a scénická umění</v>
      </c>
      <c r="R225">
        <f>IF(ISNUMBER(SEARCH('1Př1'!$A$32,N225)),MAX($M$2:M224)+1,0)</f>
        <v>223</v>
      </c>
      <c r="S225" s="287" t="s">
        <v>1591</v>
      </c>
      <c r="T225" t="str">
        <f>IFERROR(VLOOKUP(ROWS($T$3:T225),$R$3:$S$718,2,0),"")</f>
        <v>Výroba dopravních prostředků a zařízení j. n.</v>
      </c>
      <c r="U225">
        <f>IF(ISNUMBER(SEARCH('1Př1'!$A$33,N225)),MAX($M$2:M224)+1,0)</f>
        <v>223</v>
      </c>
      <c r="V225" s="287" t="s">
        <v>1591</v>
      </c>
      <c r="W225" t="str">
        <f>IFERROR(VLOOKUP(ROWS($W$3:W225),$U$3:$V$718,2,0),"")</f>
        <v>Výroba dopravních prostředků a zařízení j. n.</v>
      </c>
      <c r="X225">
        <f>IF(ISNUMBER(SEARCH('1Př1'!$A$34,N225)),MAX($M$2:M224)+1,0)</f>
        <v>223</v>
      </c>
      <c r="Y225" s="287" t="s">
        <v>1591</v>
      </c>
      <c r="Z225" t="str">
        <f>IFERROR(VLOOKUP(ROWS($Z$3:Z225),$X$3:$Y$718,2,0),"")</f>
        <v>Výroba dopravních prostředků a zařízení j. n.</v>
      </c>
    </row>
    <row r="226" spans="10:26" ht="25.5">
      <c r="J226" s="296" t="s">
        <v>1592</v>
      </c>
      <c r="K226" s="285" t="s">
        <v>1593</v>
      </c>
      <c r="M226" s="286">
        <f>IF(ISNUMBER(SEARCH(ZAKL_DATA!$B$29,N226)),MAX($M$2:M225)+1,0)</f>
        <v>224</v>
      </c>
      <c r="N226" s="791" t="s">
        <v>3490</v>
      </c>
      <c r="O226" s="791" t="s">
        <v>3491</v>
      </c>
      <c r="Q226" s="288" t="str">
        <f>IFERROR(VLOOKUP(ROWS($Q$3:Q226),$M$3:$N$718,2,0),"")</f>
        <v>Ostatní pomocné činnosti k finančním činnostem, kromě pojišťování a penzijního financování</v>
      </c>
      <c r="R226">
        <f>IF(ISNUMBER(SEARCH('1Př1'!$A$32,N226)),MAX($M$2:M225)+1,0)</f>
        <v>224</v>
      </c>
      <c r="S226" s="287" t="s">
        <v>1594</v>
      </c>
      <c r="T226" t="str">
        <f>IFERROR(VLOOKUP(ROWS($T$3:T226),$R$3:$S$718,2,0),"")</f>
        <v>Mořský rybolov</v>
      </c>
      <c r="U226">
        <f>IF(ISNUMBER(SEARCH('1Př1'!$A$33,N226)),MAX($M$2:M225)+1,0)</f>
        <v>224</v>
      </c>
      <c r="V226" s="287" t="s">
        <v>1594</v>
      </c>
      <c r="W226" t="str">
        <f>IFERROR(VLOOKUP(ROWS($W$3:W226),$U$3:$V$718,2,0),"")</f>
        <v>Mořský rybolov</v>
      </c>
      <c r="X226">
        <f>IF(ISNUMBER(SEARCH('1Př1'!$A$34,N226)),MAX($M$2:M225)+1,0)</f>
        <v>224</v>
      </c>
      <c r="Y226" s="287" t="s">
        <v>1594</v>
      </c>
      <c r="Z226" t="str">
        <f>IFERROR(VLOOKUP(ROWS($Z$3:Z226),$X$3:$Y$718,2,0),"")</f>
        <v>Mořský rybolov</v>
      </c>
    </row>
    <row r="227" spans="10:26">
      <c r="J227" s="296" t="s">
        <v>1595</v>
      </c>
      <c r="K227" s="285" t="s">
        <v>1596</v>
      </c>
      <c r="M227" s="286">
        <f>IF(ISNUMBER(SEARCH(ZAKL_DATA!$B$29,N227)),MAX($M$2:M226)+1,0)</f>
        <v>225</v>
      </c>
      <c r="N227" s="791" t="s">
        <v>2198</v>
      </c>
      <c r="O227" s="791" t="s">
        <v>3492</v>
      </c>
      <c r="Q227" s="288" t="str">
        <f>IFERROR(VLOOKUP(ROWS($Q$3:Q227),$M$3:$N$718,2,0),"")</f>
        <v>Ostatní poskytování úvěrů j. n.</v>
      </c>
      <c r="R227">
        <f>IF(ISNUMBER(SEARCH('1Př1'!$A$32,N227)),MAX($M$2:M226)+1,0)</f>
        <v>225</v>
      </c>
      <c r="S227" s="287" t="s">
        <v>1597</v>
      </c>
      <c r="T227" t="str">
        <f>IFERROR(VLOOKUP(ROWS($T$3:T227),$R$3:$S$718,2,0),"")</f>
        <v>Sladkovodní rybolov</v>
      </c>
      <c r="U227">
        <f>IF(ISNUMBER(SEARCH('1Př1'!$A$33,N227)),MAX($M$2:M226)+1,0)</f>
        <v>225</v>
      </c>
      <c r="V227" s="287" t="s">
        <v>1597</v>
      </c>
      <c r="W227" t="str">
        <f>IFERROR(VLOOKUP(ROWS($W$3:W227),$U$3:$V$718,2,0),"")</f>
        <v>Sladkovodní rybolov</v>
      </c>
      <c r="X227">
        <f>IF(ISNUMBER(SEARCH('1Př1'!$A$34,N227)),MAX($M$2:M226)+1,0)</f>
        <v>225</v>
      </c>
      <c r="Y227" s="287" t="s">
        <v>1597</v>
      </c>
      <c r="Z227" t="str">
        <f>IFERROR(VLOOKUP(ROWS($Z$3:Z227),$X$3:$Y$718,2,0),"")</f>
        <v>Sladkovodní rybolov</v>
      </c>
    </row>
    <row r="228" spans="10:26">
      <c r="J228" s="296" t="s">
        <v>1598</v>
      </c>
      <c r="K228" s="285" t="s">
        <v>1599</v>
      </c>
      <c r="M228" s="286">
        <f>IF(ISNUMBER(SEARCH(ZAKL_DATA!$B$29,N228)),MAX($M$2:M227)+1,0)</f>
        <v>226</v>
      </c>
      <c r="N228" s="791" t="s">
        <v>1710</v>
      </c>
      <c r="O228" s="791" t="s">
        <v>3493</v>
      </c>
      <c r="Q228" s="288" t="str">
        <f>IFERROR(VLOOKUP(ROWS($Q$3:Q228),$M$3:$N$718,2,0),"")</f>
        <v>Ostatní poštovní a kurýrní činnosti</v>
      </c>
      <c r="R228">
        <f>IF(ISNUMBER(SEARCH('1Př1'!$A$32,N228)),MAX($M$2:M227)+1,0)</f>
        <v>226</v>
      </c>
      <c r="S228" s="287" t="s">
        <v>1600</v>
      </c>
      <c r="T228" t="str">
        <f>IFERROR(VLOOKUP(ROWS($T$3:T228),$R$3:$S$718,2,0),"")</f>
        <v>Výroba klenotů, bižuterie a příbuzných výrobků</v>
      </c>
      <c r="U228">
        <f>IF(ISNUMBER(SEARCH('1Př1'!$A$33,N228)),MAX($M$2:M227)+1,0)</f>
        <v>226</v>
      </c>
      <c r="V228" s="287" t="s">
        <v>1600</v>
      </c>
      <c r="W228" t="str">
        <f>IFERROR(VLOOKUP(ROWS($W$3:W228),$U$3:$V$718,2,0),"")</f>
        <v>Výroba klenotů, bižuterie a příbuzných výrobků</v>
      </c>
      <c r="X228">
        <f>IF(ISNUMBER(SEARCH('1Př1'!$A$34,N228)),MAX($M$2:M227)+1,0)</f>
        <v>226</v>
      </c>
      <c r="Y228" s="287" t="s">
        <v>1600</v>
      </c>
      <c r="Z228" t="str">
        <f>IFERROR(VLOOKUP(ROWS($Z$3:Z228),$X$3:$Y$718,2,0),"")</f>
        <v>Výroba klenotů, bižuterie a příbuzných výrobků</v>
      </c>
    </row>
    <row r="229" spans="10:26">
      <c r="J229" s="296" t="s">
        <v>1601</v>
      </c>
      <c r="K229" s="285" t="s">
        <v>1602</v>
      </c>
      <c r="M229" s="286">
        <f>IF(ISNUMBER(SEARCH(ZAKL_DATA!$B$29,N229)),MAX($M$2:M228)+1,0)</f>
        <v>227</v>
      </c>
      <c r="N229" s="791" t="s">
        <v>2125</v>
      </c>
      <c r="O229" s="791" t="s">
        <v>3494</v>
      </c>
      <c r="Q229" s="288" t="str">
        <f>IFERROR(VLOOKUP(ROWS($Q$3:Q229),$M$3:$N$718,2,0),"")</f>
        <v>Ostatní pozemní osobní doprava j. n.</v>
      </c>
      <c r="R229">
        <f>IF(ISNUMBER(SEARCH('1Př1'!$A$32,N229)),MAX($M$2:M228)+1,0)</f>
        <v>227</v>
      </c>
      <c r="S229" s="287" t="s">
        <v>1603</v>
      </c>
      <c r="T229" t="str">
        <f>IFERROR(VLOOKUP(ROWS($T$3:T229),$R$3:$S$718,2,0),"")</f>
        <v>Mořská akvakultura</v>
      </c>
      <c r="U229">
        <f>IF(ISNUMBER(SEARCH('1Př1'!$A$33,N229)),MAX($M$2:M228)+1,0)</f>
        <v>227</v>
      </c>
      <c r="V229" s="287" t="s">
        <v>1603</v>
      </c>
      <c r="W229" t="str">
        <f>IFERROR(VLOOKUP(ROWS($W$3:W229),$U$3:$V$718,2,0),"")</f>
        <v>Mořská akvakultura</v>
      </c>
      <c r="X229">
        <f>IF(ISNUMBER(SEARCH('1Př1'!$A$34,N229)),MAX($M$2:M228)+1,0)</f>
        <v>227</v>
      </c>
      <c r="Y229" s="287" t="s">
        <v>1603</v>
      </c>
      <c r="Z229" t="str">
        <f>IFERROR(VLOOKUP(ROWS($Z$3:Z229),$X$3:$Y$718,2,0),"")</f>
        <v>Mořská akvakultura</v>
      </c>
    </row>
    <row r="230" spans="10:26">
      <c r="J230" s="296" t="s">
        <v>1604</v>
      </c>
      <c r="K230" s="285" t="s">
        <v>1605</v>
      </c>
      <c r="M230" s="286">
        <f>IF(ISNUMBER(SEARCH(ZAKL_DATA!$B$29,N230)),MAX($M$2:M229)+1,0)</f>
        <v>228</v>
      </c>
      <c r="N230" s="791" t="s">
        <v>1766</v>
      </c>
      <c r="O230" s="791" t="s">
        <v>3495</v>
      </c>
      <c r="Q230" s="288" t="str">
        <f>IFERROR(VLOOKUP(ROWS($Q$3:Q230),$M$3:$N$718,2,0),"")</f>
        <v>Ostatní rezervační a související činnosti</v>
      </c>
      <c r="R230">
        <f>IF(ISNUMBER(SEARCH('1Př1'!$A$32,N230)),MAX($M$2:M229)+1,0)</f>
        <v>228</v>
      </c>
      <c r="S230" s="287" t="s">
        <v>1606</v>
      </c>
      <c r="T230" t="str">
        <f>IFERROR(VLOOKUP(ROWS($T$3:T230),$R$3:$S$718,2,0),"")</f>
        <v>Výroba hudebních nástrojů</v>
      </c>
      <c r="U230">
        <f>IF(ISNUMBER(SEARCH('1Př1'!$A$33,N230)),MAX($M$2:M229)+1,0)</f>
        <v>228</v>
      </c>
      <c r="V230" s="287" t="s">
        <v>1606</v>
      </c>
      <c r="W230" t="str">
        <f>IFERROR(VLOOKUP(ROWS($W$3:W230),$U$3:$V$718,2,0),"")</f>
        <v>Výroba hudebních nástrojů</v>
      </c>
      <c r="X230">
        <f>IF(ISNUMBER(SEARCH('1Př1'!$A$34,N230)),MAX($M$2:M229)+1,0)</f>
        <v>228</v>
      </c>
      <c r="Y230" s="287" t="s">
        <v>1606</v>
      </c>
      <c r="Z230" t="str">
        <f>IFERROR(VLOOKUP(ROWS($Z$3:Z230),$X$3:$Y$718,2,0),"")</f>
        <v>Výroba hudebních nástrojů</v>
      </c>
    </row>
    <row r="231" spans="10:26">
      <c r="J231" s="296" t="s">
        <v>1607</v>
      </c>
      <c r="K231" s="285" t="s">
        <v>1608</v>
      </c>
      <c r="M231" s="286">
        <f>IF(ISNUMBER(SEARCH(ZAKL_DATA!$B$29,N231)),MAX($M$2:M230)+1,0)</f>
        <v>229</v>
      </c>
      <c r="N231" s="791" t="s">
        <v>3496</v>
      </c>
      <c r="O231" s="791" t="s">
        <v>3497</v>
      </c>
      <c r="Q231" s="288" t="str">
        <f>IFERROR(VLOOKUP(ROWS($Q$3:Q231),$M$3:$N$718,2,0),"")</f>
        <v>Ostatní specializované návrhářské činnosti</v>
      </c>
      <c r="R231">
        <f>IF(ISNUMBER(SEARCH('1Př1'!$A$32,N231)),MAX($M$2:M230)+1,0)</f>
        <v>229</v>
      </c>
      <c r="S231" s="287" t="s">
        <v>1609</v>
      </c>
      <c r="T231" t="str">
        <f>IFERROR(VLOOKUP(ROWS($T$3:T231),$R$3:$S$718,2,0),"")</f>
        <v>Sladkovodní akvakultura</v>
      </c>
      <c r="U231">
        <f>IF(ISNUMBER(SEARCH('1Př1'!$A$33,N231)),MAX($M$2:M230)+1,0)</f>
        <v>229</v>
      </c>
      <c r="V231" s="287" t="s">
        <v>1609</v>
      </c>
      <c r="W231" t="str">
        <f>IFERROR(VLOOKUP(ROWS($W$3:W231),$U$3:$V$718,2,0),"")</f>
        <v>Sladkovodní akvakultura</v>
      </c>
      <c r="X231">
        <f>IF(ISNUMBER(SEARCH('1Př1'!$A$34,N231)),MAX($M$2:M230)+1,0)</f>
        <v>229</v>
      </c>
      <c r="Y231" s="287" t="s">
        <v>1609</v>
      </c>
      <c r="Z231" t="str">
        <f>IFERROR(VLOOKUP(ROWS($Z$3:Z231),$X$3:$Y$718,2,0),"")</f>
        <v>Sladkovodní akvakultura</v>
      </c>
    </row>
    <row r="232" spans="10:26">
      <c r="J232" s="296" t="s">
        <v>1610</v>
      </c>
      <c r="K232" s="285" t="s">
        <v>1611</v>
      </c>
      <c r="M232" s="286">
        <f>IF(ISNUMBER(SEARCH(ZAKL_DATA!$B$29,N232)),MAX($M$2:M231)+1,0)</f>
        <v>230</v>
      </c>
      <c r="N232" s="791" t="s">
        <v>2035</v>
      </c>
      <c r="O232" s="791" t="s">
        <v>3498</v>
      </c>
      <c r="Q232" s="288" t="str">
        <f>IFERROR(VLOOKUP(ROWS($Q$3:Q232),$M$3:$N$718,2,0),"")</f>
        <v>Ostatní specializované stavební činnosti j. n.</v>
      </c>
      <c r="R232">
        <f>IF(ISNUMBER(SEARCH('1Př1'!$A$32,N232)),MAX($M$2:M231)+1,0)</f>
        <v>230</v>
      </c>
      <c r="S232" s="287" t="s">
        <v>1612</v>
      </c>
      <c r="T232" t="str">
        <f>IFERROR(VLOOKUP(ROWS($T$3:T232),$R$3:$S$718,2,0),"")</f>
        <v>Výroba sportovních potřeb</v>
      </c>
      <c r="U232">
        <f>IF(ISNUMBER(SEARCH('1Př1'!$A$33,N232)),MAX($M$2:M231)+1,0)</f>
        <v>230</v>
      </c>
      <c r="V232" s="287" t="s">
        <v>1612</v>
      </c>
      <c r="W232" t="str">
        <f>IFERROR(VLOOKUP(ROWS($W$3:W232),$U$3:$V$718,2,0),"")</f>
        <v>Výroba sportovních potřeb</v>
      </c>
      <c r="X232">
        <f>IF(ISNUMBER(SEARCH('1Př1'!$A$34,N232)),MAX($M$2:M231)+1,0)</f>
        <v>230</v>
      </c>
      <c r="Y232" s="287" t="s">
        <v>1612</v>
      </c>
      <c r="Z232" t="str">
        <f>IFERROR(VLOOKUP(ROWS($Z$3:Z232),$X$3:$Y$718,2,0),"")</f>
        <v>Výroba sportovních potřeb</v>
      </c>
    </row>
    <row r="233" spans="10:26" ht="25.5">
      <c r="J233" s="296" t="s">
        <v>1613</v>
      </c>
      <c r="K233" s="285" t="s">
        <v>1614</v>
      </c>
      <c r="M233" s="286">
        <f>IF(ISNUMBER(SEARCH(ZAKL_DATA!$B$29,N233)),MAX($M$2:M232)+1,0)</f>
        <v>231</v>
      </c>
      <c r="N233" s="791" t="s">
        <v>3499</v>
      </c>
      <c r="O233" s="791" t="s">
        <v>3500</v>
      </c>
      <c r="Q233" s="288" t="str">
        <f>IFERROR(VLOOKUP(ROWS($Q$3:Q233),$M$3:$N$718,2,0),"")</f>
        <v>Ostatní specializované stavební činnosti při výstavbě budov</v>
      </c>
      <c r="R233">
        <f>IF(ISNUMBER(SEARCH('1Př1'!$A$32,N233)),MAX($M$2:M232)+1,0)</f>
        <v>231</v>
      </c>
      <c r="S233" s="287" t="s">
        <v>1615</v>
      </c>
      <c r="T233" t="str">
        <f>IFERROR(VLOOKUP(ROWS($T$3:T233),$R$3:$S$718,2,0),"")</f>
        <v>Výroba her a hraček</v>
      </c>
      <c r="U233">
        <f>IF(ISNUMBER(SEARCH('1Př1'!$A$33,N233)),MAX($M$2:M232)+1,0)</f>
        <v>231</v>
      </c>
      <c r="V233" s="287" t="s">
        <v>1615</v>
      </c>
      <c r="W233" t="str">
        <f>IFERROR(VLOOKUP(ROWS($W$3:W233),$U$3:$V$718,2,0),"")</f>
        <v>Výroba her a hraček</v>
      </c>
      <c r="X233">
        <f>IF(ISNUMBER(SEARCH('1Př1'!$A$34,N233)),MAX($M$2:M232)+1,0)</f>
        <v>231</v>
      </c>
      <c r="Y233" s="287" t="s">
        <v>1615</v>
      </c>
      <c r="Z233" t="str">
        <f>IFERROR(VLOOKUP(ROWS($Z$3:Z233),$X$3:$Y$718,2,0),"")</f>
        <v>Výroba her a hraček</v>
      </c>
    </row>
    <row r="234" spans="10:26">
      <c r="J234" s="296" t="s">
        <v>1616</v>
      </c>
      <c r="K234" s="285" t="s">
        <v>1617</v>
      </c>
      <c r="M234" s="286">
        <f>IF(ISNUMBER(SEARCH(ZAKL_DATA!$B$29,N234)),MAX($M$2:M233)+1,0)</f>
        <v>232</v>
      </c>
      <c r="N234" s="791" t="s">
        <v>3501</v>
      </c>
      <c r="O234" s="791" t="s">
        <v>3502</v>
      </c>
      <c r="Q234" s="288" t="str">
        <f>IFERROR(VLOOKUP(ROWS($Q$3:Q234),$M$3:$N$718,2,0),"")</f>
        <v>Ostatní specializovaný velkoobchod j. n.</v>
      </c>
      <c r="R234">
        <f>IF(ISNUMBER(SEARCH('1Př1'!$A$32,N234)),MAX($M$2:M233)+1,0)</f>
        <v>232</v>
      </c>
      <c r="S234" s="287" t="s">
        <v>1618</v>
      </c>
      <c r="T234" t="str">
        <f>IFERROR(VLOOKUP(ROWS($T$3:T234),$R$3:$S$718,2,0),"")</f>
        <v>Výroba lékařských a dentálních nástrojů a potřeb</v>
      </c>
      <c r="U234">
        <f>IF(ISNUMBER(SEARCH('1Př1'!$A$33,N234)),MAX($M$2:M233)+1,0)</f>
        <v>232</v>
      </c>
      <c r="V234" s="287" t="s">
        <v>1618</v>
      </c>
      <c r="W234" t="str">
        <f>IFERROR(VLOOKUP(ROWS($W$3:W234),$U$3:$V$718,2,0),"")</f>
        <v>Výroba lékařských a dentálních nástrojů a potřeb</v>
      </c>
      <c r="X234">
        <f>IF(ISNUMBER(SEARCH('1Př1'!$A$34,N234)),MAX($M$2:M233)+1,0)</f>
        <v>232</v>
      </c>
      <c r="Y234" s="287" t="s">
        <v>1618</v>
      </c>
      <c r="Z234" t="str">
        <f>IFERROR(VLOOKUP(ROWS($Z$3:Z234),$X$3:$Y$718,2,0),"")</f>
        <v>Výroba lékařských a dentálních nástrojů a potřeb</v>
      </c>
    </row>
    <row r="235" spans="10:26">
      <c r="J235" s="296" t="s">
        <v>1619</v>
      </c>
      <c r="K235" s="285" t="s">
        <v>1620</v>
      </c>
      <c r="M235" s="286">
        <f>IF(ISNUMBER(SEARCH(ZAKL_DATA!$B$29,N235)),MAX($M$2:M234)+1,0)</f>
        <v>233</v>
      </c>
      <c r="N235" s="791" t="s">
        <v>2028</v>
      </c>
      <c r="O235" s="791" t="s">
        <v>3503</v>
      </c>
      <c r="Q235" s="288" t="str">
        <f>IFERROR(VLOOKUP(ROWS($Q$3:Q235),$M$3:$N$718,2,0),"")</f>
        <v>Ostatní stavební instalace</v>
      </c>
      <c r="R235">
        <f>IF(ISNUMBER(SEARCH('1Př1'!$A$32,N235)),MAX($M$2:M234)+1,0)</f>
        <v>233</v>
      </c>
      <c r="S235" s="287" t="s">
        <v>1621</v>
      </c>
      <c r="T235" t="str">
        <f>IFERROR(VLOOKUP(ROWS($T$3:T235),$R$3:$S$718,2,0),"")</f>
        <v>Zpracovatelský průmysl j. n.</v>
      </c>
      <c r="U235">
        <f>IF(ISNUMBER(SEARCH('1Př1'!$A$33,N235)),MAX($M$2:M234)+1,0)</f>
        <v>233</v>
      </c>
      <c r="V235" s="287" t="s">
        <v>1621</v>
      </c>
      <c r="W235" t="str">
        <f>IFERROR(VLOOKUP(ROWS($W$3:W235),$U$3:$V$718,2,0),"")</f>
        <v>Zpracovatelský průmysl j. n.</v>
      </c>
      <c r="X235">
        <f>IF(ISNUMBER(SEARCH('1Př1'!$A$34,N235)),MAX($M$2:M234)+1,0)</f>
        <v>233</v>
      </c>
      <c r="Y235" s="287" t="s">
        <v>1621</v>
      </c>
      <c r="Z235" t="str">
        <f>IFERROR(VLOOKUP(ROWS($Z$3:Z235),$X$3:$Y$718,2,0),"")</f>
        <v>Zpracovatelský průmysl j. n.</v>
      </c>
    </row>
    <row r="236" spans="10:26">
      <c r="J236" s="296" t="s">
        <v>1622</v>
      </c>
      <c r="K236" s="285" t="s">
        <v>1623</v>
      </c>
      <c r="M236" s="286">
        <f>IF(ISNUMBER(SEARCH(ZAKL_DATA!$B$29,N236)),MAX($M$2:M235)+1,0)</f>
        <v>234</v>
      </c>
      <c r="N236" s="791" t="s">
        <v>1727</v>
      </c>
      <c r="O236" s="791" t="s">
        <v>3504</v>
      </c>
      <c r="Q236" s="288" t="str">
        <f>IFERROR(VLOOKUP(ROWS($Q$3:Q236),$M$3:$N$718,2,0),"")</f>
        <v>Ostatní telekomunikační činnosti</v>
      </c>
      <c r="R236">
        <f>IF(ISNUMBER(SEARCH('1Př1'!$A$32,N236)),MAX($M$2:M235)+1,0)</f>
        <v>234</v>
      </c>
      <c r="S236" s="287" t="s">
        <v>1624</v>
      </c>
      <c r="T236" t="str">
        <f>IFERROR(VLOOKUP(ROWS($T$3:T236),$R$3:$S$718,2,0),"")</f>
        <v>Opravy kovodělných výrobků, strojů a zařízení</v>
      </c>
      <c r="U236">
        <f>IF(ISNUMBER(SEARCH('1Př1'!$A$33,N236)),MAX($M$2:M235)+1,0)</f>
        <v>234</v>
      </c>
      <c r="V236" s="287" t="s">
        <v>1624</v>
      </c>
      <c r="W236" t="str">
        <f>IFERROR(VLOOKUP(ROWS($W$3:W236),$U$3:$V$718,2,0),"")</f>
        <v>Opravy kovodělných výrobků, strojů a zařízení</v>
      </c>
      <c r="X236">
        <f>IF(ISNUMBER(SEARCH('1Př1'!$A$34,N236)),MAX($M$2:M235)+1,0)</f>
        <v>234</v>
      </c>
      <c r="Y236" s="287" t="s">
        <v>1624</v>
      </c>
      <c r="Z236" t="str">
        <f>IFERROR(VLOOKUP(ROWS($Z$3:Z236),$X$3:$Y$718,2,0),"")</f>
        <v>Opravy kovodělných výrobků, strojů a zařízení</v>
      </c>
    </row>
    <row r="237" spans="10:26">
      <c r="J237" s="295" t="s">
        <v>1625</v>
      </c>
      <c r="K237" s="285" t="s">
        <v>1626</v>
      </c>
      <c r="M237" s="286">
        <f>IF(ISNUMBER(SEARCH(ZAKL_DATA!$B$29,N237)),MAX($M$2:M236)+1,0)</f>
        <v>235</v>
      </c>
      <c r="N237" s="791" t="s">
        <v>3505</v>
      </c>
      <c r="O237" s="791" t="s">
        <v>3506</v>
      </c>
      <c r="Q237" s="288" t="str">
        <f>IFERROR(VLOOKUP(ROWS($Q$3:Q237),$M$3:$N$718,2,0),"")</f>
        <v>Ostatní tisk</v>
      </c>
      <c r="R237">
        <f>IF(ISNUMBER(SEARCH('1Př1'!$A$32,N237)),MAX($M$2:M236)+1,0)</f>
        <v>235</v>
      </c>
      <c r="S237" s="287" t="s">
        <v>1627</v>
      </c>
      <c r="T237" t="str">
        <f>IFERROR(VLOOKUP(ROWS($T$3:T237),$R$3:$S$718,2,0),"")</f>
        <v>Instalace průmyslových strojů a zařízení</v>
      </c>
      <c r="U237">
        <f>IF(ISNUMBER(SEARCH('1Př1'!$A$33,N237)),MAX($M$2:M236)+1,0)</f>
        <v>235</v>
      </c>
      <c r="V237" s="287" t="s">
        <v>1627</v>
      </c>
      <c r="W237" t="str">
        <f>IFERROR(VLOOKUP(ROWS($W$3:W237),$U$3:$V$718,2,0),"")</f>
        <v>Instalace průmyslových strojů a zařízení</v>
      </c>
      <c r="X237">
        <f>IF(ISNUMBER(SEARCH('1Př1'!$A$34,N237)),MAX($M$2:M236)+1,0)</f>
        <v>235</v>
      </c>
      <c r="Y237" s="287" t="s">
        <v>1627</v>
      </c>
      <c r="Z237" t="str">
        <f>IFERROR(VLOOKUP(ROWS($Z$3:Z237),$X$3:$Y$718,2,0),"")</f>
        <v>Instalace průmyslových strojů a zařízení</v>
      </c>
    </row>
    <row r="238" spans="10:26">
      <c r="J238" s="296" t="s">
        <v>1628</v>
      </c>
      <c r="K238" s="285" t="s">
        <v>1629</v>
      </c>
      <c r="M238" s="286">
        <f>IF(ISNUMBER(SEARCH(ZAKL_DATA!$B$29,N238)),MAX($M$2:M237)+1,0)</f>
        <v>236</v>
      </c>
      <c r="N238" s="791" t="s">
        <v>1714</v>
      </c>
      <c r="O238" s="791" t="s">
        <v>3507</v>
      </c>
      <c r="Q238" s="288" t="str">
        <f>IFERROR(VLOOKUP(ROWS($Q$3:Q238),$M$3:$N$718,2,0),"")</f>
        <v>Ostatní ubytování</v>
      </c>
      <c r="R238">
        <f>IF(ISNUMBER(SEARCH('1Př1'!$A$32,N238)),MAX($M$2:M237)+1,0)</f>
        <v>236</v>
      </c>
      <c r="S238" s="287" t="s">
        <v>1630</v>
      </c>
      <c r="T238" t="str">
        <f>IFERROR(VLOOKUP(ROWS($T$3:T238),$R$3:$S$718,2,0),"")</f>
        <v>Výroba, přenos a rozvod elektřiny</v>
      </c>
      <c r="U238">
        <f>IF(ISNUMBER(SEARCH('1Př1'!$A$33,N238)),MAX($M$2:M237)+1,0)</f>
        <v>236</v>
      </c>
      <c r="V238" s="287" t="s">
        <v>1630</v>
      </c>
      <c r="W238" t="str">
        <f>IFERROR(VLOOKUP(ROWS($W$3:W238),$U$3:$V$718,2,0),"")</f>
        <v>Výroba, přenos a rozvod elektřiny</v>
      </c>
      <c r="X238">
        <f>IF(ISNUMBER(SEARCH('1Př1'!$A$34,N238)),MAX($M$2:M237)+1,0)</f>
        <v>236</v>
      </c>
      <c r="Y238" s="287" t="s">
        <v>1630</v>
      </c>
      <c r="Z238" t="str">
        <f>IFERROR(VLOOKUP(ROWS($Z$3:Z238),$X$3:$Y$718,2,0),"")</f>
        <v>Výroba, přenos a rozvod elektřiny</v>
      </c>
    </row>
    <row r="239" spans="10:26">
      <c r="J239" s="296" t="s">
        <v>1631</v>
      </c>
      <c r="K239" s="285" t="s">
        <v>1632</v>
      </c>
      <c r="M239" s="286">
        <f>IF(ISNUMBER(SEARCH(ZAKL_DATA!$B$29,N239)),MAX($M$2:M238)+1,0)</f>
        <v>237</v>
      </c>
      <c r="N239" s="791" t="s">
        <v>2167</v>
      </c>
      <c r="O239" s="791" t="s">
        <v>3508</v>
      </c>
      <c r="Q239" s="288" t="str">
        <f>IFERROR(VLOOKUP(ROWS($Q$3:Q239),$M$3:$N$718,2,0),"")</f>
        <v>Ostatní úklidové činnosti</v>
      </c>
      <c r="R239">
        <f>IF(ISNUMBER(SEARCH('1Př1'!$A$32,N239)),MAX($M$2:M238)+1,0)</f>
        <v>237</v>
      </c>
      <c r="S239" s="287" t="s">
        <v>1633</v>
      </c>
      <c r="T239" t="str">
        <f>IFERROR(VLOOKUP(ROWS($T$3:T239),$R$3:$S$718,2,0),"")</f>
        <v>Výroba plynu; rozvod plynných paliv prostřednictvím sítí</v>
      </c>
      <c r="U239">
        <f>IF(ISNUMBER(SEARCH('1Př1'!$A$33,N239)),MAX($M$2:M238)+1,0)</f>
        <v>237</v>
      </c>
      <c r="V239" s="287" t="s">
        <v>1633</v>
      </c>
      <c r="W239" t="str">
        <f>IFERROR(VLOOKUP(ROWS($W$3:W239),$U$3:$V$718,2,0),"")</f>
        <v>Výroba plynu; rozvod plynných paliv prostřednictvím sítí</v>
      </c>
      <c r="X239">
        <f>IF(ISNUMBER(SEARCH('1Př1'!$A$34,N239)),MAX($M$2:M238)+1,0)</f>
        <v>237</v>
      </c>
      <c r="Y239" s="287" t="s">
        <v>1633</v>
      </c>
      <c r="Z239" t="str">
        <f>IFERROR(VLOOKUP(ROWS($Z$3:Z239),$X$3:$Y$718,2,0),"")</f>
        <v>Výroba plynu; rozvod plynných paliv prostřednictvím sítí</v>
      </c>
    </row>
    <row r="240" spans="10:26">
      <c r="J240" s="296" t="s">
        <v>1634</v>
      </c>
      <c r="K240" s="285" t="s">
        <v>1635</v>
      </c>
      <c r="M240" s="286">
        <f>IF(ISNUMBER(SEARCH(ZAKL_DATA!$B$29,N240)),MAX($M$2:M239)+1,0)</f>
        <v>238</v>
      </c>
      <c r="N240" s="791" t="s">
        <v>3509</v>
      </c>
      <c r="O240" s="791" t="s">
        <v>3510</v>
      </c>
      <c r="Q240" s="288" t="str">
        <f>IFERROR(VLOOKUP(ROWS($Q$3:Q240),$M$3:$N$718,2,0),"")</f>
        <v>Ostatní umělecká tvorba</v>
      </c>
      <c r="R240">
        <f>IF(ISNUMBER(SEARCH('1Př1'!$A$32,N240)),MAX($M$2:M239)+1,0)</f>
        <v>238</v>
      </c>
      <c r="S240" s="287" t="s">
        <v>1636</v>
      </c>
      <c r="T240" t="str">
        <f>IFERROR(VLOOKUP(ROWS($T$3:T240),$R$3:$S$718,2,0),"")</f>
        <v>Výroba a rozvod tepla a klimatizovaného vzduchu, výroba ledu</v>
      </c>
      <c r="U240">
        <f>IF(ISNUMBER(SEARCH('1Př1'!$A$33,N240)),MAX($M$2:M239)+1,0)</f>
        <v>238</v>
      </c>
      <c r="V240" s="287" t="s">
        <v>1636</v>
      </c>
      <c r="W240" t="str">
        <f>IFERROR(VLOOKUP(ROWS($W$3:W240),$U$3:$V$718,2,0),"")</f>
        <v>Výroba a rozvod tepla a klimatizovaného vzduchu, výroba ledu</v>
      </c>
      <c r="X240">
        <f>IF(ISNUMBER(SEARCH('1Př1'!$A$34,N240)),MAX($M$2:M239)+1,0)</f>
        <v>238</v>
      </c>
      <c r="Y240" s="287" t="s">
        <v>1636</v>
      </c>
      <c r="Z240" t="str">
        <f>IFERROR(VLOOKUP(ROWS($Z$3:Z240),$X$3:$Y$718,2,0),"")</f>
        <v>Výroba a rozvod tepla a klimatizovaného vzduchu, výroba ledu</v>
      </c>
    </row>
    <row r="241" spans="10:26">
      <c r="J241" s="296" t="s">
        <v>1637</v>
      </c>
      <c r="K241" s="285" t="s">
        <v>1638</v>
      </c>
      <c r="M241" s="286">
        <f>IF(ISNUMBER(SEARCH(ZAKL_DATA!$B$29,N241)),MAX($M$2:M240)+1,0)</f>
        <v>239</v>
      </c>
      <c r="N241" s="791" t="s">
        <v>2141</v>
      </c>
      <c r="O241" s="791" t="s">
        <v>3511</v>
      </c>
      <c r="Q241" s="288" t="str">
        <f>IFERROR(VLOOKUP(ROWS($Q$3:Q241),$M$3:$N$718,2,0),"")</f>
        <v>Ostatní vydávání softwaru</v>
      </c>
      <c r="R241">
        <f>IF(ISNUMBER(SEARCH('1Př1'!$A$32,N241)),MAX($M$2:M240)+1,0)</f>
        <v>239</v>
      </c>
      <c r="S241" s="287" t="s">
        <v>1639</v>
      </c>
      <c r="T241" t="str">
        <f>IFERROR(VLOOKUP(ROWS($T$3:T241),$R$3:$S$718,2,0),"")</f>
        <v>Shromažďování a sběr odpadů</v>
      </c>
      <c r="U241">
        <f>IF(ISNUMBER(SEARCH('1Př1'!$A$33,N241)),MAX($M$2:M240)+1,0)</f>
        <v>239</v>
      </c>
      <c r="V241" s="287" t="s">
        <v>1639</v>
      </c>
      <c r="W241" t="str">
        <f>IFERROR(VLOOKUP(ROWS($W$3:W241),$U$3:$V$718,2,0),"")</f>
        <v>Shromažďování a sběr odpadů</v>
      </c>
      <c r="X241">
        <f>IF(ISNUMBER(SEARCH('1Př1'!$A$34,N241)),MAX($M$2:M240)+1,0)</f>
        <v>239</v>
      </c>
      <c r="Y241" s="287" t="s">
        <v>1639</v>
      </c>
      <c r="Z241" t="str">
        <f>IFERROR(VLOOKUP(ROWS($Z$3:Z241),$X$3:$Y$718,2,0),"")</f>
        <v>Shromažďování a sběr odpadů</v>
      </c>
    </row>
    <row r="242" spans="10:26" ht="25.5">
      <c r="J242" s="296" t="s">
        <v>1640</v>
      </c>
      <c r="K242" s="285" t="s">
        <v>1641</v>
      </c>
      <c r="M242" s="286">
        <f>IF(ISNUMBER(SEARCH(ZAKL_DATA!$B$29,N242)),MAX($M$2:M241)+1,0)</f>
        <v>240</v>
      </c>
      <c r="N242" s="791" t="s">
        <v>3512</v>
      </c>
      <c r="O242" s="791" t="s">
        <v>3513</v>
      </c>
      <c r="Q242" s="288" t="str">
        <f>IFERROR(VLOOKUP(ROWS($Q$3:Q242),$M$3:$N$718,2,0),"")</f>
        <v>Ostatní vydavatelské činnosti, kromě vydávání softwaru</v>
      </c>
      <c r="R242">
        <f>IF(ISNUMBER(SEARCH('1Př1'!$A$32,N242)),MAX($M$2:M241)+1,0)</f>
        <v>240</v>
      </c>
      <c r="S242" s="287" t="s">
        <v>1642</v>
      </c>
      <c r="T242" t="str">
        <f>IFERROR(VLOOKUP(ROWS($T$3:T242),$R$3:$S$718,2,0),"")</f>
        <v>Odstraňování odpadů</v>
      </c>
      <c r="U242">
        <f>IF(ISNUMBER(SEARCH('1Př1'!$A$33,N242)),MAX($M$2:M241)+1,0)</f>
        <v>240</v>
      </c>
      <c r="V242" s="287" t="s">
        <v>1642</v>
      </c>
      <c r="W242" t="str">
        <f>IFERROR(VLOOKUP(ROWS($W$3:W242),$U$3:$V$718,2,0),"")</f>
        <v>Odstraňování odpadů</v>
      </c>
      <c r="X242">
        <f>IF(ISNUMBER(SEARCH('1Př1'!$A$34,N242)),MAX($M$2:M241)+1,0)</f>
        <v>240</v>
      </c>
      <c r="Y242" s="287" t="s">
        <v>1642</v>
      </c>
      <c r="Z242" t="str">
        <f>IFERROR(VLOOKUP(ROWS($Z$3:Z242),$X$3:$Y$718,2,0),"")</f>
        <v>Odstraňování odpadů</v>
      </c>
    </row>
    <row r="243" spans="10:26">
      <c r="J243" s="296" t="s">
        <v>1643</v>
      </c>
      <c r="K243" s="285" t="s">
        <v>1644</v>
      </c>
      <c r="M243" s="286">
        <f>IF(ISNUMBER(SEARCH(ZAKL_DATA!$B$29,N243)),MAX($M$2:M242)+1,0)</f>
        <v>241</v>
      </c>
      <c r="N243" s="791" t="s">
        <v>1816</v>
      </c>
      <c r="O243" s="791" t="s">
        <v>3514</v>
      </c>
      <c r="Q243" s="288" t="str">
        <f>IFERROR(VLOOKUP(ROWS($Q$3:Q243),$M$3:$N$718,2,0),"")</f>
        <v>Ostatní zpracování a konzervování ovoce a zeleniny</v>
      </c>
      <c r="R243">
        <f>IF(ISNUMBER(SEARCH('1Př1'!$A$32,N243)),MAX($M$2:M242)+1,0)</f>
        <v>241</v>
      </c>
      <c r="S243" s="287" t="s">
        <v>1645</v>
      </c>
      <c r="T243" t="str">
        <f>IFERROR(VLOOKUP(ROWS($T$3:T243),$R$3:$S$718,2,0),"")</f>
        <v>Úprava odpadů k dalšímu využití</v>
      </c>
      <c r="U243">
        <f>IF(ISNUMBER(SEARCH('1Př1'!$A$33,N243)),MAX($M$2:M242)+1,0)</f>
        <v>241</v>
      </c>
      <c r="V243" s="287" t="s">
        <v>1645</v>
      </c>
      <c r="W243" t="str">
        <f>IFERROR(VLOOKUP(ROWS($W$3:W243),$U$3:$V$718,2,0),"")</f>
        <v>Úprava odpadů k dalšímu využití</v>
      </c>
      <c r="X243">
        <f>IF(ISNUMBER(SEARCH('1Př1'!$A$34,N243)),MAX($M$2:M242)+1,0)</f>
        <v>241</v>
      </c>
      <c r="Y243" s="287" t="s">
        <v>1645</v>
      </c>
      <c r="Z243" t="str">
        <f>IFERROR(VLOOKUP(ROWS($Z$3:Z243),$X$3:$Y$718,2,0),"")</f>
        <v>Úprava odpadů k dalšímu využití</v>
      </c>
    </row>
    <row r="244" spans="10:26">
      <c r="J244" s="296" t="s">
        <v>1646</v>
      </c>
      <c r="K244" s="285" t="s">
        <v>1647</v>
      </c>
      <c r="M244" s="286">
        <f>IF(ISNUMBER(SEARCH(ZAKL_DATA!$B$29,N244)),MAX($M$2:M243)+1,0)</f>
        <v>242</v>
      </c>
      <c r="N244" s="791" t="s">
        <v>1993</v>
      </c>
      <c r="O244" s="791" t="s">
        <v>3515</v>
      </c>
      <c r="Q244" s="288" t="str">
        <f>IFERROR(VLOOKUP(ROWS($Q$3:Q244),$M$3:$N$718,2,0),"")</f>
        <v>Ostatní zpracovatelský průmysl j. n.</v>
      </c>
      <c r="R244">
        <f>IF(ISNUMBER(SEARCH('1Př1'!$A$32,N244)),MAX($M$2:M243)+1,0)</f>
        <v>242</v>
      </c>
      <c r="S244" s="287" t="s">
        <v>1648</v>
      </c>
      <c r="T244" t="str">
        <f>IFERROR(VLOOKUP(ROWS($T$3:T244),$R$3:$S$718,2,0),"")</f>
        <v>Developerská činnost</v>
      </c>
      <c r="U244">
        <f>IF(ISNUMBER(SEARCH('1Př1'!$A$33,N244)),MAX($M$2:M243)+1,0)</f>
        <v>242</v>
      </c>
      <c r="V244" s="287" t="s">
        <v>1648</v>
      </c>
      <c r="W244" t="str">
        <f>IFERROR(VLOOKUP(ROWS($W$3:W244),$U$3:$V$718,2,0),"")</f>
        <v>Developerská činnost</v>
      </c>
      <c r="X244">
        <f>IF(ISNUMBER(SEARCH('1Př1'!$A$34,N244)),MAX($M$2:M243)+1,0)</f>
        <v>242</v>
      </c>
      <c r="Y244" s="287" t="s">
        <v>1648</v>
      </c>
      <c r="Z244" t="str">
        <f>IFERROR(VLOOKUP(ROWS($Z$3:Z244),$X$3:$Y$718,2,0),"")</f>
        <v>Developerská činnost</v>
      </c>
    </row>
    <row r="245" spans="10:26" ht="25.5">
      <c r="J245" s="296" t="s">
        <v>1649</v>
      </c>
      <c r="K245" s="285" t="s">
        <v>1650</v>
      </c>
      <c r="M245" s="286">
        <f>IF(ISNUMBER(SEARCH(ZAKL_DATA!$B$29,N245)),MAX($M$2:M244)+1,0)</f>
        <v>243</v>
      </c>
      <c r="N245" s="791" t="s">
        <v>3516</v>
      </c>
      <c r="O245" s="791" t="s">
        <v>3517</v>
      </c>
      <c r="Q245" s="288" t="str">
        <f>IFERROR(VLOOKUP(ROWS($Q$3:Q245),$M$3:$N$718,2,0),"")</f>
        <v>Ošetřovatelské činnosti a činnosti porodních asistentek</v>
      </c>
      <c r="R245">
        <f>IF(ISNUMBER(SEARCH('1Př1'!$A$32,N245)),MAX($M$2:M244)+1,0)</f>
        <v>243</v>
      </c>
      <c r="S245" s="287" t="s">
        <v>1651</v>
      </c>
      <c r="T245" t="str">
        <f>IFERROR(VLOOKUP(ROWS($T$3:T245),$R$3:$S$718,2,0),"")</f>
        <v>Výstavba bytových a nebytových budov</v>
      </c>
      <c r="U245">
        <f>IF(ISNUMBER(SEARCH('1Př1'!$A$33,N245)),MAX($M$2:M244)+1,0)</f>
        <v>243</v>
      </c>
      <c r="V245" s="287" t="s">
        <v>1651</v>
      </c>
      <c r="W245" t="str">
        <f>IFERROR(VLOOKUP(ROWS($W$3:W245),$U$3:$V$718,2,0),"")</f>
        <v>Výstavba bytových a nebytových budov</v>
      </c>
      <c r="X245">
        <f>IF(ISNUMBER(SEARCH('1Př1'!$A$34,N245)),MAX($M$2:M244)+1,0)</f>
        <v>243</v>
      </c>
      <c r="Y245" s="287" t="s">
        <v>1651</v>
      </c>
      <c r="Z245" t="str">
        <f>IFERROR(VLOOKUP(ROWS($Z$3:Z245),$X$3:$Y$718,2,0),"")</f>
        <v>Výstavba bytových a nebytových budov</v>
      </c>
    </row>
    <row r="246" spans="10:26" ht="25.5">
      <c r="J246" s="296" t="s">
        <v>1652</v>
      </c>
      <c r="K246" s="285" t="s">
        <v>1653</v>
      </c>
      <c r="M246" s="286">
        <f>IF(ISNUMBER(SEARCH(ZAKL_DATA!$B$29,N246)),MAX($M$2:M245)+1,0)</f>
        <v>244</v>
      </c>
      <c r="N246" s="791" t="s">
        <v>3518</v>
      </c>
      <c r="O246" s="791" t="s">
        <v>3519</v>
      </c>
      <c r="Q246" s="288" t="str">
        <f>IFERROR(VLOOKUP(ROWS($Q$3:Q246),$M$3:$N$718,2,0),"")</f>
        <v>Pátrací činnosti a činnosti soukromých bezpečnostních agentur</v>
      </c>
      <c r="R246">
        <f>IF(ISNUMBER(SEARCH('1Př1'!$A$32,N246)),MAX($M$2:M245)+1,0)</f>
        <v>244</v>
      </c>
      <c r="S246" s="287" t="s">
        <v>1654</v>
      </c>
      <c r="T246" t="str">
        <f>IFERROR(VLOOKUP(ROWS($T$3:T246),$R$3:$S$718,2,0),"")</f>
        <v>Výstavba silnic a železnic</v>
      </c>
      <c r="U246">
        <f>IF(ISNUMBER(SEARCH('1Př1'!$A$33,N246)),MAX($M$2:M245)+1,0)</f>
        <v>244</v>
      </c>
      <c r="V246" s="287" t="s">
        <v>1654</v>
      </c>
      <c r="W246" t="str">
        <f>IFERROR(VLOOKUP(ROWS($W$3:W246),$U$3:$V$718,2,0),"")</f>
        <v>Výstavba silnic a železnic</v>
      </c>
      <c r="X246">
        <f>IF(ISNUMBER(SEARCH('1Př1'!$A$34,N246)),MAX($M$2:M245)+1,0)</f>
        <v>244</v>
      </c>
      <c r="Y246" s="287" t="s">
        <v>1654</v>
      </c>
      <c r="Z246" t="str">
        <f>IFERROR(VLOOKUP(ROWS($Z$3:Z246),$X$3:$Y$718,2,0),"")</f>
        <v>Výstavba silnic a železnic</v>
      </c>
    </row>
    <row r="247" spans="10:26">
      <c r="J247" s="296" t="s">
        <v>1655</v>
      </c>
      <c r="K247" s="285" t="s">
        <v>1656</v>
      </c>
      <c r="M247" s="286">
        <f>IF(ISNUMBER(SEARCH(ZAKL_DATA!$B$29,N247)),MAX($M$2:M246)+1,0)</f>
        <v>245</v>
      </c>
      <c r="N247" s="791" t="s">
        <v>1735</v>
      </c>
      <c r="O247" s="791" t="s">
        <v>3520</v>
      </c>
      <c r="Q247" s="288" t="str">
        <f>IFERROR(VLOOKUP(ROWS($Q$3:Q247),$M$3:$N$718,2,0),"")</f>
        <v>Penzijní financování</v>
      </c>
      <c r="R247">
        <f>IF(ISNUMBER(SEARCH('1Př1'!$A$32,N247)),MAX($M$2:M246)+1,0)</f>
        <v>245</v>
      </c>
      <c r="S247" s="287" t="s">
        <v>1657</v>
      </c>
      <c r="T247" t="str">
        <f>IFERROR(VLOOKUP(ROWS($T$3:T247),$R$3:$S$718,2,0),"")</f>
        <v>Výstavba inženýrských sítí</v>
      </c>
      <c r="U247">
        <f>IF(ISNUMBER(SEARCH('1Př1'!$A$33,N247)),MAX($M$2:M246)+1,0)</f>
        <v>245</v>
      </c>
      <c r="V247" s="287" t="s">
        <v>1657</v>
      </c>
      <c r="W247" t="str">
        <f>IFERROR(VLOOKUP(ROWS($W$3:W247),$U$3:$V$718,2,0),"")</f>
        <v>Výstavba inženýrských sítí</v>
      </c>
      <c r="X247">
        <f>IF(ISNUMBER(SEARCH('1Př1'!$A$34,N247)),MAX($M$2:M246)+1,0)</f>
        <v>245</v>
      </c>
      <c r="Y247" s="287" t="s">
        <v>1657</v>
      </c>
      <c r="Z247" t="str">
        <f>IFERROR(VLOOKUP(ROWS($Z$3:Z247),$X$3:$Y$718,2,0),"")</f>
        <v>Výstavba inženýrských sítí</v>
      </c>
    </row>
    <row r="248" spans="10:26">
      <c r="J248" s="296" t="s">
        <v>1658</v>
      </c>
      <c r="K248" s="285" t="s">
        <v>1659</v>
      </c>
      <c r="M248" s="286">
        <f>IF(ISNUMBER(SEARCH(ZAKL_DATA!$B$29,N248)),MAX($M$2:M247)+1,0)</f>
        <v>246</v>
      </c>
      <c r="N248" s="791" t="s">
        <v>1237</v>
      </c>
      <c r="O248" s="791" t="s">
        <v>3521</v>
      </c>
      <c r="Q248" s="288" t="str">
        <f>IFERROR(VLOOKUP(ROWS($Q$3:Q248),$M$3:$N$718,2,0),"")</f>
        <v>Pěstování citrusových plodů</v>
      </c>
      <c r="R248">
        <f>IF(ISNUMBER(SEARCH('1Př1'!$A$32,N248)),MAX($M$2:M247)+1,0)</f>
        <v>246</v>
      </c>
      <c r="S248" s="287" t="s">
        <v>1660</v>
      </c>
      <c r="T248" t="str">
        <f>IFERROR(VLOOKUP(ROWS($T$3:T248),$R$3:$S$718,2,0),"")</f>
        <v>Výstavba ostatních staveb</v>
      </c>
      <c r="U248">
        <f>IF(ISNUMBER(SEARCH('1Př1'!$A$33,N248)),MAX($M$2:M247)+1,0)</f>
        <v>246</v>
      </c>
      <c r="V248" s="287" t="s">
        <v>1660</v>
      </c>
      <c r="W248" t="str">
        <f>IFERROR(VLOOKUP(ROWS($W$3:W248),$U$3:$V$718,2,0),"")</f>
        <v>Výstavba ostatních staveb</v>
      </c>
      <c r="X248">
        <f>IF(ISNUMBER(SEARCH('1Př1'!$A$34,N248)),MAX($M$2:M247)+1,0)</f>
        <v>246</v>
      </c>
      <c r="Y248" s="287" t="s">
        <v>1660</v>
      </c>
      <c r="Z248" t="str">
        <f>IFERROR(VLOOKUP(ROWS($Z$3:Z248),$X$3:$Y$718,2,0),"")</f>
        <v>Výstavba ostatních staveb</v>
      </c>
    </row>
    <row r="249" spans="10:26">
      <c r="J249" s="296" t="s">
        <v>1661</v>
      </c>
      <c r="K249" s="285" t="s">
        <v>1662</v>
      </c>
      <c r="M249" s="286">
        <f>IF(ISNUMBER(SEARCH(ZAKL_DATA!$B$29,N249)),MAX($M$2:M248)+1,0)</f>
        <v>247</v>
      </c>
      <c r="N249" s="791" t="s">
        <v>1281</v>
      </c>
      <c r="O249" s="791" t="s">
        <v>3522</v>
      </c>
      <c r="Q249" s="288" t="str">
        <f>IFERROR(VLOOKUP(ROWS($Q$3:Q249),$M$3:$N$718,2,0),"")</f>
        <v>Pěstování cukrové třtiny</v>
      </c>
      <c r="R249">
        <f>IF(ISNUMBER(SEARCH('1Př1'!$A$32,N249)),MAX($M$2:M248)+1,0)</f>
        <v>247</v>
      </c>
      <c r="S249" s="287" t="s">
        <v>1663</v>
      </c>
      <c r="T249" t="str">
        <f>IFERROR(VLOOKUP(ROWS($T$3:T249),$R$3:$S$718,2,0),"")</f>
        <v>Demolice a příprava staveniště</v>
      </c>
      <c r="U249">
        <f>IF(ISNUMBER(SEARCH('1Př1'!$A$33,N249)),MAX($M$2:M248)+1,0)</f>
        <v>247</v>
      </c>
      <c r="V249" s="287" t="s">
        <v>1663</v>
      </c>
      <c r="W249" t="str">
        <f>IFERROR(VLOOKUP(ROWS($W$3:W249),$U$3:$V$718,2,0),"")</f>
        <v>Demolice a příprava staveniště</v>
      </c>
      <c r="X249">
        <f>IF(ISNUMBER(SEARCH('1Př1'!$A$34,N249)),MAX($M$2:M248)+1,0)</f>
        <v>247</v>
      </c>
      <c r="Y249" s="287" t="s">
        <v>1663</v>
      </c>
      <c r="Z249" t="str">
        <f>IFERROR(VLOOKUP(ROWS($Z$3:Z249),$X$3:$Y$718,2,0),"")</f>
        <v>Demolice a příprava staveniště</v>
      </c>
    </row>
    <row r="250" spans="10:26">
      <c r="J250" s="296" t="s">
        <v>1664</v>
      </c>
      <c r="K250" s="285" t="s">
        <v>1665</v>
      </c>
      <c r="M250" s="286">
        <f>IF(ISNUMBER(SEARCH(ZAKL_DATA!$B$29,N250)),MAX($M$2:M249)+1,0)</f>
        <v>248</v>
      </c>
      <c r="N250" s="791" t="s">
        <v>1241</v>
      </c>
      <c r="O250" s="791" t="s">
        <v>3523</v>
      </c>
      <c r="Q250" s="288" t="str">
        <f>IFERROR(VLOOKUP(ROWS($Q$3:Q250),$M$3:$N$718,2,0),"")</f>
        <v>Pěstování jádrového a peckového ovoce</v>
      </c>
      <c r="R250">
        <f>IF(ISNUMBER(SEARCH('1Př1'!$A$32,N250)),MAX($M$2:M249)+1,0)</f>
        <v>248</v>
      </c>
      <c r="S250" s="287" t="s">
        <v>1666</v>
      </c>
      <c r="T250" t="str">
        <f>IFERROR(VLOOKUP(ROWS($T$3:T250),$R$3:$S$718,2,0),"")</f>
        <v>Elektroinstalační, instalatérské a ostatní stavebně instalační práce</v>
      </c>
      <c r="U250">
        <f>IF(ISNUMBER(SEARCH('1Př1'!$A$33,N250)),MAX($M$2:M249)+1,0)</f>
        <v>248</v>
      </c>
      <c r="V250" s="287" t="s">
        <v>1666</v>
      </c>
      <c r="W250" t="str">
        <f>IFERROR(VLOOKUP(ROWS($W$3:W250),$U$3:$V$718,2,0),"")</f>
        <v>Elektroinstalační, instalatérské a ostatní stavebně instalační práce</v>
      </c>
      <c r="X250">
        <f>IF(ISNUMBER(SEARCH('1Př1'!$A$34,N250)),MAX($M$2:M249)+1,0)</f>
        <v>248</v>
      </c>
      <c r="Y250" s="287" t="s">
        <v>1666</v>
      </c>
      <c r="Z250" t="str">
        <f>IFERROR(VLOOKUP(ROWS($Z$3:Z250),$X$3:$Y$718,2,0),"")</f>
        <v>Elektroinstalační, instalatérské a ostatní stavebně instalační práce</v>
      </c>
    </row>
    <row r="251" spans="10:26" ht="25.5">
      <c r="J251" s="296" t="s">
        <v>1667</v>
      </c>
      <c r="K251" s="285" t="s">
        <v>1668</v>
      </c>
      <c r="M251" s="286">
        <f>IF(ISNUMBER(SEARCH(ZAKL_DATA!$B$29,N251)),MAX($M$2:M250)+1,0)</f>
        <v>249</v>
      </c>
      <c r="N251" s="791" t="s">
        <v>3524</v>
      </c>
      <c r="O251" s="791" t="s">
        <v>3525</v>
      </c>
      <c r="Q251" s="288" t="str">
        <f>IFERROR(VLOOKUP(ROWS($Q$3:Q251),$M$3:$N$718,2,0),"")</f>
        <v>Pěstování koření a aromatických, léčivých a farmaceutických rostlin</v>
      </c>
      <c r="R251">
        <f>IF(ISNUMBER(SEARCH('1Př1'!$A$32,N251)),MAX($M$2:M250)+1,0)</f>
        <v>249</v>
      </c>
      <c r="S251" s="287" t="s">
        <v>1669</v>
      </c>
      <c r="T251" t="str">
        <f>IFERROR(VLOOKUP(ROWS($T$3:T251),$R$3:$S$718,2,0),"")</f>
        <v>Kompletační a dokončovací práce</v>
      </c>
      <c r="U251">
        <f>IF(ISNUMBER(SEARCH('1Př1'!$A$33,N251)),MAX($M$2:M250)+1,0)</f>
        <v>249</v>
      </c>
      <c r="V251" s="287" t="s">
        <v>1669</v>
      </c>
      <c r="W251" t="str">
        <f>IFERROR(VLOOKUP(ROWS($W$3:W251),$U$3:$V$718,2,0),"")</f>
        <v>Kompletační a dokončovací práce</v>
      </c>
      <c r="X251">
        <f>IF(ISNUMBER(SEARCH('1Př1'!$A$34,N251)),MAX($M$2:M250)+1,0)</f>
        <v>249</v>
      </c>
      <c r="Y251" s="287" t="s">
        <v>1669</v>
      </c>
      <c r="Z251" t="str">
        <f>IFERROR(VLOOKUP(ROWS($Z$3:Z251),$X$3:$Y$718,2,0),"")</f>
        <v>Kompletační a dokončovací práce</v>
      </c>
    </row>
    <row r="252" spans="10:26">
      <c r="J252" s="296" t="s">
        <v>1670</v>
      </c>
      <c r="K252" s="285" t="s">
        <v>1671</v>
      </c>
      <c r="M252" s="286">
        <f>IF(ISNUMBER(SEARCH(ZAKL_DATA!$B$29,N252)),MAX($M$2:M251)+1,0)</f>
        <v>250</v>
      </c>
      <c r="N252" s="791" t="s">
        <v>3526</v>
      </c>
      <c r="O252" s="791" t="s">
        <v>3527</v>
      </c>
      <c r="Q252" s="288" t="str">
        <f>IFERROR(VLOOKUP(ROWS($Q$3:Q252),$M$3:$N$718,2,0),"")</f>
        <v>Pěstování lesa a jiné činnosti v oblasti lesnictví</v>
      </c>
      <c r="R252">
        <f>IF(ISNUMBER(SEARCH('1Př1'!$A$32,N252)),MAX($M$2:M251)+1,0)</f>
        <v>250</v>
      </c>
      <c r="S252" s="287" t="s">
        <v>1672</v>
      </c>
      <c r="T252" t="str">
        <f>IFERROR(VLOOKUP(ROWS($T$3:T252),$R$3:$S$718,2,0),"")</f>
        <v>Ostatní specializované stavební činnosti</v>
      </c>
      <c r="U252">
        <f>IF(ISNUMBER(SEARCH('1Př1'!$A$33,N252)),MAX($M$2:M251)+1,0)</f>
        <v>250</v>
      </c>
      <c r="V252" s="287" t="s">
        <v>1672</v>
      </c>
      <c r="W252" t="str">
        <f>IFERROR(VLOOKUP(ROWS($W$3:W252),$U$3:$V$718,2,0),"")</f>
        <v>Ostatní specializované stavební činnosti</v>
      </c>
      <c r="X252">
        <f>IF(ISNUMBER(SEARCH('1Př1'!$A$34,N252)),MAX($M$2:M251)+1,0)</f>
        <v>250</v>
      </c>
      <c r="Y252" s="287" t="s">
        <v>1672</v>
      </c>
      <c r="Z252" t="str">
        <f>IFERROR(VLOOKUP(ROWS($Z$3:Z252),$X$3:$Y$718,2,0),"")</f>
        <v>Ostatní specializované stavební činnosti</v>
      </c>
    </row>
    <row r="253" spans="10:26" ht="26.25" thickBot="1">
      <c r="J253" s="307" t="s">
        <v>1673</v>
      </c>
      <c r="K253" s="285" t="s">
        <v>1674</v>
      </c>
      <c r="M253" s="286">
        <f>IF(ISNUMBER(SEARCH(ZAKL_DATA!$B$29,N253)),MAX($M$2:M252)+1,0)</f>
        <v>251</v>
      </c>
      <c r="N253" s="791" t="s">
        <v>3528</v>
      </c>
      <c r="O253" s="791" t="s">
        <v>3529</v>
      </c>
      <c r="Q253" s="288" t="str">
        <f>IFERROR(VLOOKUP(ROWS($Q$3:Q253),$M$3:$N$718,2,0),"")</f>
        <v>Pěstování obilovin jiných než rýže, luštěnin a olejnatých semen</v>
      </c>
      <c r="R253">
        <f>IF(ISNUMBER(SEARCH('1Př1'!$A$32,N253)),MAX($M$2:M252)+1,0)</f>
        <v>251</v>
      </c>
      <c r="S253" s="287" t="s">
        <v>1675</v>
      </c>
      <c r="T253" t="str">
        <f>IFERROR(VLOOKUP(ROWS($T$3:T253),$R$3:$S$718,2,0),"")</f>
        <v>Obchod s motorovými vozidly, kromě motocyklů</v>
      </c>
      <c r="U253">
        <f>IF(ISNUMBER(SEARCH('1Př1'!$A$33,N253)),MAX($M$2:M252)+1,0)</f>
        <v>251</v>
      </c>
      <c r="V253" s="287" t="s">
        <v>1675</v>
      </c>
      <c r="W253" t="str">
        <f>IFERROR(VLOOKUP(ROWS($W$3:W253),$U$3:$V$718,2,0),"")</f>
        <v>Obchod s motorovými vozidly, kromě motocyklů</v>
      </c>
      <c r="X253">
        <f>IF(ISNUMBER(SEARCH('1Př1'!$A$34,N253)),MAX($M$2:M252)+1,0)</f>
        <v>251</v>
      </c>
      <c r="Y253" s="287" t="s">
        <v>1675</v>
      </c>
      <c r="Z253" t="str">
        <f>IFERROR(VLOOKUP(ROWS($Z$3:Z253),$X$3:$Y$718,2,0),"")</f>
        <v>Obchod s motorovými vozidly, kromě motocyklů</v>
      </c>
    </row>
    <row r="254" spans="10:26">
      <c r="M254" s="286">
        <f>IF(ISNUMBER(SEARCH(ZAKL_DATA!$B$29,N254)),MAX($M$2:M253)+1,0)</f>
        <v>252</v>
      </c>
      <c r="N254" s="791" t="s">
        <v>1249</v>
      </c>
      <c r="O254" s="791" t="s">
        <v>3530</v>
      </c>
      <c r="Q254" s="288" t="str">
        <f>IFERROR(VLOOKUP(ROWS($Q$3:Q254),$M$3:$N$718,2,0),"")</f>
        <v>Pěstování olejnatých plodů</v>
      </c>
      <c r="R254">
        <f>IF(ISNUMBER(SEARCH('1Př1'!$A$32,N254)),MAX($M$2:M253)+1,0)</f>
        <v>252</v>
      </c>
      <c r="S254" s="287" t="s">
        <v>1676</v>
      </c>
      <c r="T254" t="str">
        <f>IFERROR(VLOOKUP(ROWS($T$3:T254),$R$3:$S$718,2,0),"")</f>
        <v>Opravy a údržba motorových vozidel, kromě motocyklů</v>
      </c>
      <c r="U254">
        <f>IF(ISNUMBER(SEARCH('1Př1'!$A$33,N254)),MAX($M$2:M253)+1,0)</f>
        <v>252</v>
      </c>
      <c r="V254" s="287" t="s">
        <v>1676</v>
      </c>
      <c r="W254" t="str">
        <f>IFERROR(VLOOKUP(ROWS($W$3:W254),$U$3:$V$718,2,0),"")</f>
        <v>Opravy a údržba motorových vozidel, kromě motocyklů</v>
      </c>
      <c r="X254">
        <f>IF(ISNUMBER(SEARCH('1Př1'!$A$34,N254)),MAX($M$2:M253)+1,0)</f>
        <v>252</v>
      </c>
      <c r="Y254" s="287" t="s">
        <v>1676</v>
      </c>
      <c r="Z254" t="str">
        <f>IFERROR(VLOOKUP(ROWS($Z$3:Z254),$X$3:$Y$718,2,0),"")</f>
        <v>Opravy a údržba motorových vozidel, kromě motocyklů</v>
      </c>
    </row>
    <row r="255" spans="10:26" ht="25.5">
      <c r="M255" s="286">
        <f>IF(ISNUMBER(SEARCH(ZAKL_DATA!$B$29,N255)),MAX($M$2:M254)+1,0)</f>
        <v>253</v>
      </c>
      <c r="N255" s="791" t="s">
        <v>1245</v>
      </c>
      <c r="O255" s="791" t="s">
        <v>3531</v>
      </c>
      <c r="Q255" s="288" t="str">
        <f>IFERROR(VLOOKUP(ROWS($Q$3:Q255),$M$3:$N$718,2,0),"")</f>
        <v>Pěstování ostatního stromového a keřového ovoce a ořechů</v>
      </c>
      <c r="R255">
        <f>IF(ISNUMBER(SEARCH('1Př1'!$A$32,N255)),MAX($M$2:M254)+1,0)</f>
        <v>253</v>
      </c>
      <c r="S255" s="287" t="s">
        <v>1677</v>
      </c>
      <c r="T255" t="str">
        <f>IFERROR(VLOOKUP(ROWS($T$3:T255),$R$3:$S$718,2,0),"")</f>
        <v>Obchod s díly a příslušenstvím pro motorová vozidla, kromě motocyklů</v>
      </c>
      <c r="U255">
        <f>IF(ISNUMBER(SEARCH('1Př1'!$A$33,N255)),MAX($M$2:M254)+1,0)</f>
        <v>253</v>
      </c>
      <c r="V255" s="287" t="s">
        <v>1677</v>
      </c>
      <c r="W255" t="str">
        <f>IFERROR(VLOOKUP(ROWS($W$3:W255),$U$3:$V$718,2,0),"")</f>
        <v>Obchod s díly a příslušenstvím pro motorová vozidla, kromě motocyklů</v>
      </c>
      <c r="X255">
        <f>IF(ISNUMBER(SEARCH('1Př1'!$A$34,N255)),MAX($M$2:M254)+1,0)</f>
        <v>253</v>
      </c>
      <c r="Y255" s="287" t="s">
        <v>1677</v>
      </c>
      <c r="Z255" t="str">
        <f>IFERROR(VLOOKUP(ROWS($Z$3:Z255),$X$3:$Y$718,2,0),"")</f>
        <v>Obchod s díly a příslušenstvím pro motorová vozidla, kromě motocyklů</v>
      </c>
    </row>
    <row r="256" spans="10:26">
      <c r="M256" s="286">
        <f>IF(ISNUMBER(SEARCH(ZAKL_DATA!$B$29,N256)),MAX($M$2:M255)+1,0)</f>
        <v>254</v>
      </c>
      <c r="N256" s="791" t="s">
        <v>1225</v>
      </c>
      <c r="O256" s="791" t="s">
        <v>3532</v>
      </c>
      <c r="Q256" s="288" t="str">
        <f>IFERROR(VLOOKUP(ROWS($Q$3:Q256),$M$3:$N$718,2,0),"")</f>
        <v>Pěstování ostatních plodin jiných než trvalých</v>
      </c>
      <c r="R256">
        <f>IF(ISNUMBER(SEARCH('1Př1'!$A$32,N256)),MAX($M$2:M255)+1,0)</f>
        <v>254</v>
      </c>
      <c r="S256" s="287" t="s">
        <v>1678</v>
      </c>
      <c r="T256" t="str">
        <f>IFERROR(VLOOKUP(ROWS($T$3:T256),$R$3:$S$718,2,0),"")</f>
        <v>Obchod, opravy a údržba motocyklů, jejich dílů a příslušenství</v>
      </c>
      <c r="U256">
        <f>IF(ISNUMBER(SEARCH('1Př1'!$A$33,N256)),MAX($M$2:M255)+1,0)</f>
        <v>254</v>
      </c>
      <c r="V256" s="287" t="s">
        <v>1678</v>
      </c>
      <c r="W256" t="str">
        <f>IFERROR(VLOOKUP(ROWS($W$3:W256),$U$3:$V$718,2,0),"")</f>
        <v>Obchod, opravy a údržba motocyklů, jejich dílů a příslušenství</v>
      </c>
      <c r="X256">
        <f>IF(ISNUMBER(SEARCH('1Př1'!$A$34,N256)),MAX($M$2:M255)+1,0)</f>
        <v>254</v>
      </c>
      <c r="Y256" s="287" t="s">
        <v>1678</v>
      </c>
      <c r="Z256" t="str">
        <f>IFERROR(VLOOKUP(ROWS($Z$3:Z256),$X$3:$Y$718,2,0),"")</f>
        <v>Obchod, opravy a údržba motocyklů, jejich dílů a příslušenství</v>
      </c>
    </row>
    <row r="257" spans="13:26">
      <c r="M257" s="286">
        <f>IF(ISNUMBER(SEARCH(ZAKL_DATA!$B$29,N257)),MAX($M$2:M256)+1,0)</f>
        <v>255</v>
      </c>
      <c r="N257" s="791" t="s">
        <v>1261</v>
      </c>
      <c r="O257" s="791" t="s">
        <v>3533</v>
      </c>
      <c r="Q257" s="288" t="str">
        <f>IFERROR(VLOOKUP(ROWS($Q$3:Q257),$M$3:$N$718,2,0),"")</f>
        <v>Pěstování ostatních trvalých plodin</v>
      </c>
      <c r="R257">
        <f>IF(ISNUMBER(SEARCH('1Př1'!$A$32,N257)),MAX($M$2:M256)+1,0)</f>
        <v>255</v>
      </c>
      <c r="S257" s="287" t="s">
        <v>1679</v>
      </c>
      <c r="T257" t="str">
        <f>IFERROR(VLOOKUP(ROWS($T$3:T257),$R$3:$S$718,2,0),"")</f>
        <v>Zprostředkování velkoobchodu a velkoobchod v zastoupení</v>
      </c>
      <c r="U257">
        <f>IF(ISNUMBER(SEARCH('1Př1'!$A$33,N257)),MAX($M$2:M256)+1,0)</f>
        <v>255</v>
      </c>
      <c r="V257" s="287" t="s">
        <v>1679</v>
      </c>
      <c r="W257" t="str">
        <f>IFERROR(VLOOKUP(ROWS($W$3:W257),$U$3:$V$718,2,0),"")</f>
        <v>Zprostředkování velkoobchodu a velkoobchod v zastoupení</v>
      </c>
      <c r="X257">
        <f>IF(ISNUMBER(SEARCH('1Př1'!$A$34,N257)),MAX($M$2:M256)+1,0)</f>
        <v>255</v>
      </c>
      <c r="Y257" s="287" t="s">
        <v>1679</v>
      </c>
      <c r="Z257" t="str">
        <f>IFERROR(VLOOKUP(ROWS($Z$3:Z257),$X$3:$Y$718,2,0),"")</f>
        <v>Zprostředkování velkoobchodu a velkoobchod v zastoupení</v>
      </c>
    </row>
    <row r="258" spans="13:26">
      <c r="M258" s="286">
        <f>IF(ISNUMBER(SEARCH(ZAKL_DATA!$B$29,N258)),MAX($M$2:M257)+1,0)</f>
        <v>256</v>
      </c>
      <c r="N258" s="791" t="s">
        <v>1221</v>
      </c>
      <c r="O258" s="791" t="s">
        <v>3534</v>
      </c>
      <c r="Q258" s="288" t="str">
        <f>IFERROR(VLOOKUP(ROWS($Q$3:Q258),$M$3:$N$718,2,0),"")</f>
        <v>Pěstování přadných rostlin</v>
      </c>
      <c r="R258">
        <f>IF(ISNUMBER(SEARCH('1Př1'!$A$32,N258)),MAX($M$2:M257)+1,0)</f>
        <v>256</v>
      </c>
      <c r="S258" s="287" t="s">
        <v>1680</v>
      </c>
      <c r="T258" t="str">
        <f>IFERROR(VLOOKUP(ROWS($T$3:T258),$R$3:$S$718,2,0),"")</f>
        <v>Velkoobchod se základními zemědělskými produkty a živými zvířaty</v>
      </c>
      <c r="U258">
        <f>IF(ISNUMBER(SEARCH('1Př1'!$A$33,N258)),MAX($M$2:M257)+1,0)</f>
        <v>256</v>
      </c>
      <c r="V258" s="287" t="s">
        <v>1680</v>
      </c>
      <c r="W258" t="str">
        <f>IFERROR(VLOOKUP(ROWS($W$3:W258),$U$3:$V$718,2,0),"")</f>
        <v>Velkoobchod se základními zemědělskými produkty a živými zvířaty</v>
      </c>
      <c r="X258">
        <f>IF(ISNUMBER(SEARCH('1Př1'!$A$34,N258)),MAX($M$2:M257)+1,0)</f>
        <v>256</v>
      </c>
      <c r="Y258" s="287" t="s">
        <v>1680</v>
      </c>
      <c r="Z258" t="str">
        <f>IFERROR(VLOOKUP(ROWS($Z$3:Z258),$X$3:$Y$718,2,0),"")</f>
        <v>Velkoobchod se základními zemědělskými produkty a živými zvířaty</v>
      </c>
    </row>
    <row r="259" spans="13:26">
      <c r="M259" s="286">
        <f>IF(ISNUMBER(SEARCH(ZAKL_DATA!$B$29,N259)),MAX($M$2:M258)+1,0)</f>
        <v>257</v>
      </c>
      <c r="N259" s="791" t="s">
        <v>1253</v>
      </c>
      <c r="O259" s="791" t="s">
        <v>3535</v>
      </c>
      <c r="Q259" s="288" t="str">
        <f>IFERROR(VLOOKUP(ROWS($Q$3:Q259),$M$3:$N$718,2,0),"")</f>
        <v>Pěstování rostlin pro výrobu nápojů</v>
      </c>
      <c r="R259">
        <f>IF(ISNUMBER(SEARCH('1Př1'!$A$32,N259)),MAX($M$2:M258)+1,0)</f>
        <v>257</v>
      </c>
      <c r="S259" s="287" t="s">
        <v>1681</v>
      </c>
      <c r="T259" t="str">
        <f>IFERROR(VLOOKUP(ROWS($T$3:T259),$R$3:$S$718,2,0),"")</f>
        <v>Velkoobchod s potravinami, nápoji a tabákovými výrobky</v>
      </c>
      <c r="U259">
        <f>IF(ISNUMBER(SEARCH('1Př1'!$A$33,N259)),MAX($M$2:M258)+1,0)</f>
        <v>257</v>
      </c>
      <c r="V259" s="287" t="s">
        <v>1681</v>
      </c>
      <c r="W259" t="str">
        <f>IFERROR(VLOOKUP(ROWS($W$3:W259),$U$3:$V$718,2,0),"")</f>
        <v>Velkoobchod s potravinami, nápoji a tabákovými výrobky</v>
      </c>
      <c r="X259">
        <f>IF(ISNUMBER(SEARCH('1Př1'!$A$34,N259)),MAX($M$2:M258)+1,0)</f>
        <v>257</v>
      </c>
      <c r="Y259" s="287" t="s">
        <v>1681</v>
      </c>
      <c r="Z259" t="str">
        <f>IFERROR(VLOOKUP(ROWS($Z$3:Z259),$X$3:$Y$718,2,0),"")</f>
        <v>Velkoobchod s potravinami, nápoji a tabákovými výrobky</v>
      </c>
    </row>
    <row r="260" spans="13:26">
      <c r="M260" s="286">
        <f>IF(ISNUMBER(SEARCH(ZAKL_DATA!$B$29,N260)),MAX($M$2:M259)+1,0)</f>
        <v>258</v>
      </c>
      <c r="N260" s="791" t="s">
        <v>1209</v>
      </c>
      <c r="O260" s="791" t="s">
        <v>3536</v>
      </c>
      <c r="Q260" s="288" t="str">
        <f>IFERROR(VLOOKUP(ROWS($Q$3:Q260),$M$3:$N$718,2,0),"")</f>
        <v>Pěstování rýže</v>
      </c>
      <c r="R260">
        <f>IF(ISNUMBER(SEARCH('1Př1'!$A$32,N260)),MAX($M$2:M259)+1,0)</f>
        <v>258</v>
      </c>
      <c r="S260" s="287" t="s">
        <v>1682</v>
      </c>
      <c r="T260" t="str">
        <f>IFERROR(VLOOKUP(ROWS($T$3:T260),$R$3:$S$718,2,0),"")</f>
        <v>Velkoobchod s výrobky převážně pro domácnost</v>
      </c>
      <c r="U260">
        <f>IF(ISNUMBER(SEARCH('1Př1'!$A$33,N260)),MAX($M$2:M259)+1,0)</f>
        <v>258</v>
      </c>
      <c r="V260" s="287" t="s">
        <v>1682</v>
      </c>
      <c r="W260" t="str">
        <f>IFERROR(VLOOKUP(ROWS($W$3:W260),$U$3:$V$718,2,0),"")</f>
        <v>Velkoobchod s výrobky převážně pro domácnost</v>
      </c>
      <c r="X260">
        <f>IF(ISNUMBER(SEARCH('1Př1'!$A$34,N260)),MAX($M$2:M259)+1,0)</f>
        <v>258</v>
      </c>
      <c r="Y260" s="287" t="s">
        <v>1682</v>
      </c>
      <c r="Z260" t="str">
        <f>IFERROR(VLOOKUP(ROWS($Z$3:Z260),$X$3:$Y$718,2,0),"")</f>
        <v>Velkoobchod s výrobky převážně pro domácnost</v>
      </c>
    </row>
    <row r="261" spans="13:26">
      <c r="M261" s="286">
        <f>IF(ISNUMBER(SEARCH(ZAKL_DATA!$B$29,N261)),MAX($M$2:M260)+1,0)</f>
        <v>259</v>
      </c>
      <c r="N261" s="791" t="s">
        <v>1217</v>
      </c>
      <c r="O261" s="791" t="s">
        <v>3537</v>
      </c>
      <c r="Q261" s="288" t="str">
        <f>IFERROR(VLOOKUP(ROWS($Q$3:Q261),$M$3:$N$718,2,0),"")</f>
        <v>Pěstování tabáku</v>
      </c>
      <c r="R261">
        <f>IF(ISNUMBER(SEARCH('1Př1'!$A$32,N261)),MAX($M$2:M260)+1,0)</f>
        <v>259</v>
      </c>
      <c r="S261" s="287" t="s">
        <v>1683</v>
      </c>
      <c r="T261" t="str">
        <f>IFERROR(VLOOKUP(ROWS($T$3:T261),$R$3:$S$718,2,0),"")</f>
        <v>Velkoobchod s počítačovým a komunikačním zařízením</v>
      </c>
      <c r="U261">
        <f>IF(ISNUMBER(SEARCH('1Př1'!$A$33,N261)),MAX($M$2:M260)+1,0)</f>
        <v>259</v>
      </c>
      <c r="V261" s="287" t="s">
        <v>1683</v>
      </c>
      <c r="W261" t="str">
        <f>IFERROR(VLOOKUP(ROWS($W$3:W261),$U$3:$V$718,2,0),"")</f>
        <v>Velkoobchod s počítačovým a komunikačním zařízením</v>
      </c>
      <c r="X261">
        <f>IF(ISNUMBER(SEARCH('1Př1'!$A$34,N261)),MAX($M$2:M260)+1,0)</f>
        <v>259</v>
      </c>
      <c r="Y261" s="287" t="s">
        <v>1683</v>
      </c>
      <c r="Z261" t="str">
        <f>IFERROR(VLOOKUP(ROWS($Z$3:Z261),$X$3:$Y$718,2,0),"")</f>
        <v>Velkoobchod s počítačovým a komunikačním zařízením</v>
      </c>
    </row>
    <row r="262" spans="13:26">
      <c r="M262" s="286">
        <f>IF(ISNUMBER(SEARCH(ZAKL_DATA!$B$29,N262)),MAX($M$2:M261)+1,0)</f>
        <v>260</v>
      </c>
      <c r="N262" s="791" t="s">
        <v>1233</v>
      </c>
      <c r="O262" s="791" t="s">
        <v>3538</v>
      </c>
      <c r="Q262" s="288" t="str">
        <f>IFERROR(VLOOKUP(ROWS($Q$3:Q262),$M$3:$N$718,2,0),"")</f>
        <v>Pěstování tropického a subtropického ovoce</v>
      </c>
      <c r="R262">
        <f>IF(ISNUMBER(SEARCH('1Př1'!$A$32,N262)),MAX($M$2:M261)+1,0)</f>
        <v>260</v>
      </c>
      <c r="S262" s="287" t="s">
        <v>1684</v>
      </c>
      <c r="T262" t="str">
        <f>IFERROR(VLOOKUP(ROWS($T$3:T262),$R$3:$S$718,2,0),"")</f>
        <v>Velkoobchod s ostatními stroji, strojním zařízením a příslušenstvím</v>
      </c>
      <c r="U262">
        <f>IF(ISNUMBER(SEARCH('1Př1'!$A$33,N262)),MAX($M$2:M261)+1,0)</f>
        <v>260</v>
      </c>
      <c r="V262" s="287" t="s">
        <v>1684</v>
      </c>
      <c r="W262" t="str">
        <f>IFERROR(VLOOKUP(ROWS($W$3:W262),$U$3:$V$718,2,0),"")</f>
        <v>Velkoobchod s ostatními stroji, strojním zařízením a příslušenstvím</v>
      </c>
      <c r="X262">
        <f>IF(ISNUMBER(SEARCH('1Př1'!$A$34,N262)),MAX($M$2:M261)+1,0)</f>
        <v>260</v>
      </c>
      <c r="Y262" s="287" t="s">
        <v>1684</v>
      </c>
      <c r="Z262" t="str">
        <f>IFERROR(VLOOKUP(ROWS($Z$3:Z262),$X$3:$Y$718,2,0),"")</f>
        <v>Velkoobchod s ostatními stroji, strojním zařízením a příslušenstvím</v>
      </c>
    </row>
    <row r="263" spans="13:26">
      <c r="M263" s="286">
        <f>IF(ISNUMBER(SEARCH(ZAKL_DATA!$B$29,N263)),MAX($M$2:M262)+1,0)</f>
        <v>261</v>
      </c>
      <c r="N263" s="791" t="s">
        <v>1229</v>
      </c>
      <c r="O263" s="791" t="s">
        <v>3539</v>
      </c>
      <c r="Q263" s="288" t="str">
        <f>IFERROR(VLOOKUP(ROWS($Q$3:Q263),$M$3:$N$718,2,0),"")</f>
        <v>Pěstování vinných hroznů</v>
      </c>
      <c r="R263">
        <f>IF(ISNUMBER(SEARCH('1Př1'!$A$32,N263)),MAX($M$2:M262)+1,0)</f>
        <v>261</v>
      </c>
      <c r="S263" s="287" t="s">
        <v>1685</v>
      </c>
      <c r="T263" t="str">
        <f>IFERROR(VLOOKUP(ROWS($T$3:T263),$R$3:$S$718,2,0),"")</f>
        <v>Ostatní specializovaný velkoobchod</v>
      </c>
      <c r="U263">
        <f>IF(ISNUMBER(SEARCH('1Př1'!$A$33,N263)),MAX($M$2:M262)+1,0)</f>
        <v>261</v>
      </c>
      <c r="V263" s="287" t="s">
        <v>1685</v>
      </c>
      <c r="W263" t="str">
        <f>IFERROR(VLOOKUP(ROWS($W$3:W263),$U$3:$V$718,2,0),"")</f>
        <v>Ostatní specializovaný velkoobchod</v>
      </c>
      <c r="X263">
        <f>IF(ISNUMBER(SEARCH('1Př1'!$A$34,N263)),MAX($M$2:M262)+1,0)</f>
        <v>261</v>
      </c>
      <c r="Y263" s="287" t="s">
        <v>1685</v>
      </c>
      <c r="Z263" t="str">
        <f>IFERROR(VLOOKUP(ROWS($Z$3:Z263),$X$3:$Y$718,2,0),"")</f>
        <v>Ostatní specializovaný velkoobchod</v>
      </c>
    </row>
    <row r="264" spans="13:26">
      <c r="M264" s="286">
        <f>IF(ISNUMBER(SEARCH(ZAKL_DATA!$B$29,N264)),MAX($M$2:M263)+1,0)</f>
        <v>262</v>
      </c>
      <c r="N264" s="791" t="s">
        <v>1213</v>
      </c>
      <c r="O264" s="791" t="s">
        <v>3540</v>
      </c>
      <c r="Q264" s="288" t="str">
        <f>IFERROR(VLOOKUP(ROWS($Q$3:Q264),$M$3:$N$718,2,0),"")</f>
        <v>Pěstování zeleniny a melounů, kořenů a hlíz</v>
      </c>
      <c r="R264">
        <f>IF(ISNUMBER(SEARCH('1Př1'!$A$32,N264)),MAX($M$2:M263)+1,0)</f>
        <v>262</v>
      </c>
      <c r="S264" s="287" t="s">
        <v>1686</v>
      </c>
      <c r="T264" t="str">
        <f>IFERROR(VLOOKUP(ROWS($T$3:T264),$R$3:$S$718,2,0),"")</f>
        <v>Nespecializovaný velkoobchod</v>
      </c>
      <c r="U264">
        <f>IF(ISNUMBER(SEARCH('1Př1'!$A$33,N264)),MAX($M$2:M263)+1,0)</f>
        <v>262</v>
      </c>
      <c r="V264" s="287" t="s">
        <v>1686</v>
      </c>
      <c r="W264" t="str">
        <f>IFERROR(VLOOKUP(ROWS($W$3:W264),$U$3:$V$718,2,0),"")</f>
        <v>Nespecializovaný velkoobchod</v>
      </c>
      <c r="X264">
        <f>IF(ISNUMBER(SEARCH('1Př1'!$A$34,N264)),MAX($M$2:M263)+1,0)</f>
        <v>262</v>
      </c>
      <c r="Y264" s="287" t="s">
        <v>1686</v>
      </c>
      <c r="Z264" t="str">
        <f>IFERROR(VLOOKUP(ROWS($Z$3:Z264),$X$3:$Y$718,2,0),"")</f>
        <v>Nespecializovaný velkoobchod</v>
      </c>
    </row>
    <row r="265" spans="13:26">
      <c r="M265" s="286">
        <f>IF(ISNUMBER(SEARCH(ZAKL_DATA!$B$29,N265)),MAX($M$2:M264)+1,0)</f>
        <v>263</v>
      </c>
      <c r="N265" s="791" t="s">
        <v>3541</v>
      </c>
      <c r="O265" s="791" t="s">
        <v>3542</v>
      </c>
      <c r="Q265" s="288" t="str">
        <f>IFERROR(VLOOKUP(ROWS($Q$3:Q265),$M$3:$N$718,2,0),"")</f>
        <v>Pilařská výroba</v>
      </c>
      <c r="R265">
        <f>IF(ISNUMBER(SEARCH('1Př1'!$A$32,N265)),MAX($M$2:M264)+1,0)</f>
        <v>263</v>
      </c>
      <c r="S265" s="287" t="s">
        <v>1687</v>
      </c>
      <c r="T265" t="str">
        <f>IFERROR(VLOOKUP(ROWS($T$3:T265),$R$3:$S$718,2,0),"")</f>
        <v>Maloobchod v nespecializovaných prodejnách</v>
      </c>
      <c r="U265">
        <f>IF(ISNUMBER(SEARCH('1Př1'!$A$33,N265)),MAX($M$2:M264)+1,0)</f>
        <v>263</v>
      </c>
      <c r="V265" s="287" t="s">
        <v>1687</v>
      </c>
      <c r="W265" t="str">
        <f>IFERROR(VLOOKUP(ROWS($W$3:W265),$U$3:$V$718,2,0),"")</f>
        <v>Maloobchod v nespecializovaných prodejnách</v>
      </c>
      <c r="X265">
        <f>IF(ISNUMBER(SEARCH('1Př1'!$A$34,N265)),MAX($M$2:M264)+1,0)</f>
        <v>263</v>
      </c>
      <c r="Y265" s="287" t="s">
        <v>1687</v>
      </c>
      <c r="Z265" t="str">
        <f>IFERROR(VLOOKUP(ROWS($Z$3:Z265),$X$3:$Y$718,2,0),"")</f>
        <v>Maloobchod v nespecializovaných prodejnách</v>
      </c>
    </row>
    <row r="266" spans="13:26" ht="38.25">
      <c r="M266" s="286">
        <f>IF(ISNUMBER(SEARCH(ZAKL_DATA!$B$29,N266)),MAX($M$2:M265)+1,0)</f>
        <v>264</v>
      </c>
      <c r="N266" s="791" t="s">
        <v>3543</v>
      </c>
      <c r="O266" s="791" t="s">
        <v>3544</v>
      </c>
      <c r="Q266" s="288" t="str">
        <f>IFERROR(VLOOKUP(ROWS($Q$3:Q266),$M$3:$N$718,2,0),"")</f>
        <v>Pobytové služby sociální péče pro osoby s duševním onemocněním, mentálním postižením nebo osoby závislé na návykových látkách</v>
      </c>
      <c r="R266">
        <f>IF(ISNUMBER(SEARCH('1Př1'!$A$32,N266)),MAX($M$2:M265)+1,0)</f>
        <v>264</v>
      </c>
      <c r="S266" s="287" t="s">
        <v>1688</v>
      </c>
      <c r="T266" t="str">
        <f>IFERROR(VLOOKUP(ROWS($T$3:T266),$R$3:$S$718,2,0),"")</f>
        <v>Maloobchod s potravinami,nápoji a tabák.výrobky ve specializ.prodejnách</v>
      </c>
      <c r="U266">
        <f>IF(ISNUMBER(SEARCH('1Př1'!$A$33,N266)),MAX($M$2:M265)+1,0)</f>
        <v>264</v>
      </c>
      <c r="V266" s="287" t="s">
        <v>1688</v>
      </c>
      <c r="W266" t="str">
        <f>IFERROR(VLOOKUP(ROWS($W$3:W266),$U$3:$V$718,2,0),"")</f>
        <v>Maloobchod s potravinami,nápoji a tabák.výrobky ve specializ.prodejnách</v>
      </c>
      <c r="X266">
        <f>IF(ISNUMBER(SEARCH('1Př1'!$A$34,N266)),MAX($M$2:M265)+1,0)</f>
        <v>264</v>
      </c>
      <c r="Y266" s="287" t="s">
        <v>1688</v>
      </c>
      <c r="Z266" t="str">
        <f>IFERROR(VLOOKUP(ROWS($Z$3:Z266),$X$3:$Y$718,2,0),"")</f>
        <v>Maloobchod s potravinami,nápoji a tabák.výrobky ve specializ.prodejnách</v>
      </c>
    </row>
    <row r="267" spans="13:26" ht="25.5">
      <c r="M267" s="286">
        <f>IF(ISNUMBER(SEARCH(ZAKL_DATA!$B$29,N267)),MAX($M$2:M266)+1,0)</f>
        <v>265</v>
      </c>
      <c r="N267" s="791" t="s">
        <v>3545</v>
      </c>
      <c r="O267" s="791" t="s">
        <v>3546</v>
      </c>
      <c r="Q267" s="288" t="str">
        <f>IFERROR(VLOOKUP(ROWS($Q$3:Q267),$M$3:$N$718,2,0),"")</f>
        <v>Pobytové služby sociální péče pro seniory nebo osoby s fyzickým nebo smyslovým postižením</v>
      </c>
      <c r="R267">
        <f>IF(ISNUMBER(SEARCH('1Př1'!$A$32,N267)),MAX($M$2:M266)+1,0)</f>
        <v>265</v>
      </c>
      <c r="S267" s="287" t="s">
        <v>1689</v>
      </c>
      <c r="T267" t="str">
        <f>IFERROR(VLOOKUP(ROWS($T$3:T267),$R$3:$S$718,2,0),"")</f>
        <v>Maloobchod s pohonnými hmotami ve specializovaných prodejnách</v>
      </c>
      <c r="U267">
        <f>IF(ISNUMBER(SEARCH('1Př1'!$A$33,N267)),MAX($M$2:M266)+1,0)</f>
        <v>265</v>
      </c>
      <c r="V267" s="287" t="s">
        <v>1689</v>
      </c>
      <c r="W267" t="str">
        <f>IFERROR(VLOOKUP(ROWS($W$3:W267),$U$3:$V$718,2,0),"")</f>
        <v>Maloobchod s pohonnými hmotami ve specializovaných prodejnách</v>
      </c>
      <c r="X267">
        <f>IF(ISNUMBER(SEARCH('1Př1'!$A$34,N267)),MAX($M$2:M266)+1,0)</f>
        <v>265</v>
      </c>
      <c r="Y267" s="287" t="s">
        <v>1689</v>
      </c>
      <c r="Z267" t="str">
        <f>IFERROR(VLOOKUP(ROWS($Z$3:Z267),$X$3:$Y$718,2,0),"")</f>
        <v>Maloobchod s pohonnými hmotami ve specializovaných prodejnách</v>
      </c>
    </row>
    <row r="268" spans="13:26" ht="25.5">
      <c r="M268" s="286">
        <f>IF(ISNUMBER(SEARCH(ZAKL_DATA!$B$29,N268)),MAX($M$2:M267)+1,0)</f>
        <v>266</v>
      </c>
      <c r="N268" s="791" t="s">
        <v>3547</v>
      </c>
      <c r="O268" s="791" t="s">
        <v>3548</v>
      </c>
      <c r="Q268" s="288" t="str">
        <f>IFERROR(VLOOKUP(ROWS($Q$3:Q268),$M$3:$N$718,2,0),"")</f>
        <v>Pobytové služby sociální péče ve zdravotnických zařízeních lůžkové péče</v>
      </c>
      <c r="R268">
        <f>IF(ISNUMBER(SEARCH('1Př1'!$A$32,N268)),MAX($M$2:M267)+1,0)</f>
        <v>266</v>
      </c>
      <c r="S268" s="287" t="s">
        <v>1690</v>
      </c>
      <c r="T268" t="str">
        <f>IFERROR(VLOOKUP(ROWS($T$3:T268),$R$3:$S$718,2,0),"")</f>
        <v>Maloobchod s počítačovým a komunikačním zařízením ve specializ.prodejnách</v>
      </c>
      <c r="U268">
        <f>IF(ISNUMBER(SEARCH('1Př1'!$A$33,N268)),MAX($M$2:M267)+1,0)</f>
        <v>266</v>
      </c>
      <c r="V268" s="287" t="s">
        <v>1690</v>
      </c>
      <c r="W268" t="str">
        <f>IFERROR(VLOOKUP(ROWS($W$3:W268),$U$3:$V$718,2,0),"")</f>
        <v>Maloobchod s počítačovým a komunikačním zařízením ve specializ.prodejnách</v>
      </c>
      <c r="X268">
        <f>IF(ISNUMBER(SEARCH('1Př1'!$A$34,N268)),MAX($M$2:M267)+1,0)</f>
        <v>266</v>
      </c>
      <c r="Y268" s="287" t="s">
        <v>1690</v>
      </c>
      <c r="Z268" t="str">
        <f>IFERROR(VLOOKUP(ROWS($Z$3:Z268),$X$3:$Y$718,2,0),"")</f>
        <v>Maloobchod s počítačovým a komunikačním zařízením ve specializ.prodejnách</v>
      </c>
    </row>
    <row r="269" spans="13:26">
      <c r="M269" s="286">
        <f>IF(ISNUMBER(SEARCH(ZAKL_DATA!$B$29,N269)),MAX($M$2:M268)+1,0)</f>
        <v>267</v>
      </c>
      <c r="N269" s="791" t="s">
        <v>3549</v>
      </c>
      <c r="O269" s="791" t="s">
        <v>3550</v>
      </c>
      <c r="Q269" s="288" t="str">
        <f>IFERROR(VLOOKUP(ROWS($Q$3:Q269),$M$3:$N$718,2,0),"")</f>
        <v>Podávání nápojů</v>
      </c>
      <c r="R269">
        <f>IF(ISNUMBER(SEARCH('1Př1'!$A$32,N269)),MAX($M$2:M268)+1,0)</f>
        <v>267</v>
      </c>
      <c r="S269" s="287" t="s">
        <v>1691</v>
      </c>
      <c r="T269" t="str">
        <f>IFERROR(VLOOKUP(ROWS($T$3:T269),$R$3:$S$718,2,0),"")</f>
        <v>Maloobchod s ost.výrobky převážně pro domácnost ve specializ.prodejnách</v>
      </c>
      <c r="U269">
        <f>IF(ISNUMBER(SEARCH('1Př1'!$A$33,N269)),MAX($M$2:M268)+1,0)</f>
        <v>267</v>
      </c>
      <c r="V269" s="287" t="s">
        <v>1691</v>
      </c>
      <c r="W269" t="str">
        <f>IFERROR(VLOOKUP(ROWS($W$3:W269),$U$3:$V$718,2,0),"")</f>
        <v>Maloobchod s ost.výrobky převážně pro domácnost ve specializ.prodejnách</v>
      </c>
      <c r="X269">
        <f>IF(ISNUMBER(SEARCH('1Př1'!$A$34,N269)),MAX($M$2:M268)+1,0)</f>
        <v>267</v>
      </c>
      <c r="Y269" s="287" t="s">
        <v>1691</v>
      </c>
      <c r="Z269" t="str">
        <f>IFERROR(VLOOKUP(ROWS($Z$3:Z269),$X$3:$Y$718,2,0),"")</f>
        <v>Maloobchod s ost.výrobky převážně pro domácnost ve specializ.prodejnách</v>
      </c>
    </row>
    <row r="270" spans="13:26">
      <c r="M270" s="286">
        <f>IF(ISNUMBER(SEARCH(ZAKL_DATA!$B$29,N270)),MAX($M$2:M269)+1,0)</f>
        <v>268</v>
      </c>
      <c r="N270" s="791" t="s">
        <v>859</v>
      </c>
      <c r="O270" s="791" t="s">
        <v>3551</v>
      </c>
      <c r="Q270" s="288" t="str">
        <f>IFERROR(VLOOKUP(ROWS($Q$3:Q270),$M$3:$N$718,2,0),"")</f>
        <v>Podpůrné činnosti pro lesnictví</v>
      </c>
      <c r="R270">
        <f>IF(ISNUMBER(SEARCH('1Př1'!$A$32,N270)),MAX($M$2:M269)+1,0)</f>
        <v>268</v>
      </c>
      <c r="S270" s="287" t="s">
        <v>1692</v>
      </c>
      <c r="T270" t="str">
        <f>IFERROR(VLOOKUP(ROWS($T$3:T270),$R$3:$S$718,2,0),"")</f>
        <v>Maloobchod s výrobky pro kulturní rozhled a rekreaci ve specializ.prod.</v>
      </c>
      <c r="U270">
        <f>IF(ISNUMBER(SEARCH('1Př1'!$A$33,N270)),MAX($M$2:M269)+1,0)</f>
        <v>268</v>
      </c>
      <c r="V270" s="287" t="s">
        <v>1692</v>
      </c>
      <c r="W270" t="str">
        <f>IFERROR(VLOOKUP(ROWS($W$3:W270),$U$3:$V$718,2,0),"")</f>
        <v>Maloobchod s výrobky pro kulturní rozhled a rekreaci ve specializ.prod.</v>
      </c>
      <c r="X270">
        <f>IF(ISNUMBER(SEARCH('1Př1'!$A$34,N270)),MAX($M$2:M269)+1,0)</f>
        <v>268</v>
      </c>
      <c r="Y270" s="287" t="s">
        <v>1692</v>
      </c>
      <c r="Z270" t="str">
        <f>IFERROR(VLOOKUP(ROWS($Z$3:Z270),$X$3:$Y$718,2,0),"")</f>
        <v>Maloobchod s výrobky pro kulturní rozhled a rekreaci ve specializ.prod.</v>
      </c>
    </row>
    <row r="271" spans="13:26">
      <c r="M271" s="286">
        <f>IF(ISNUMBER(SEARCH(ZAKL_DATA!$B$29,N271)),MAX($M$2:M270)+1,0)</f>
        <v>269</v>
      </c>
      <c r="N271" s="791" t="s">
        <v>1341</v>
      </c>
      <c r="O271" s="791" t="s">
        <v>3552</v>
      </c>
      <c r="Q271" s="288" t="str">
        <f>IFERROR(VLOOKUP(ROWS($Q$3:Q271),$M$3:$N$718,2,0),"")</f>
        <v>Podpůrné činnosti pro rostlinnou výrobu</v>
      </c>
      <c r="R271">
        <f>IF(ISNUMBER(SEARCH('1Př1'!$A$32,N271)),MAX($M$2:M270)+1,0)</f>
        <v>269</v>
      </c>
      <c r="S271" s="287" t="s">
        <v>1693</v>
      </c>
      <c r="T271" t="str">
        <f>IFERROR(VLOOKUP(ROWS($T$3:T271),$R$3:$S$718,2,0),"")</f>
        <v>Maloobchod s ostatním zbožím ve specializovaných prodejnách</v>
      </c>
      <c r="U271">
        <f>IF(ISNUMBER(SEARCH('1Př1'!$A$33,N271)),MAX($M$2:M270)+1,0)</f>
        <v>269</v>
      </c>
      <c r="V271" s="287" t="s">
        <v>1693</v>
      </c>
      <c r="W271" t="str">
        <f>IFERROR(VLOOKUP(ROWS($W$3:W271),$U$3:$V$718,2,0),"")</f>
        <v>Maloobchod s ostatním zbožím ve specializovaných prodejnách</v>
      </c>
      <c r="X271">
        <f>IF(ISNUMBER(SEARCH('1Př1'!$A$34,N271)),MAX($M$2:M270)+1,0)</f>
        <v>269</v>
      </c>
      <c r="Y271" s="287" t="s">
        <v>1693</v>
      </c>
      <c r="Z271" t="str">
        <f>IFERROR(VLOOKUP(ROWS($Z$3:Z271),$X$3:$Y$718,2,0),"")</f>
        <v>Maloobchod s ostatním zbožím ve specializovaných prodejnách</v>
      </c>
    </row>
    <row r="272" spans="13:26">
      <c r="M272" s="286">
        <f>IF(ISNUMBER(SEARCH(ZAKL_DATA!$B$29,N272)),MAX($M$2:M271)+1,0)</f>
        <v>270</v>
      </c>
      <c r="N272" s="791" t="s">
        <v>3553</v>
      </c>
      <c r="O272" s="791" t="s">
        <v>3554</v>
      </c>
      <c r="Q272" s="288" t="str">
        <f>IFERROR(VLOOKUP(ROWS($Q$3:Q272),$M$3:$N$718,2,0),"")</f>
        <v>Podpůrné činnosti pro rybolov a akvakulturu</v>
      </c>
      <c r="R272">
        <f>IF(ISNUMBER(SEARCH('1Př1'!$A$32,N272)),MAX($M$2:M271)+1,0)</f>
        <v>270</v>
      </c>
      <c r="S272" s="287" t="s">
        <v>1694</v>
      </c>
      <c r="T272" t="str">
        <f>IFERROR(VLOOKUP(ROWS($T$3:T272),$R$3:$S$718,2,0),"")</f>
        <v>Maloobchod ve stáncích a na trzích</v>
      </c>
      <c r="U272">
        <f>IF(ISNUMBER(SEARCH('1Př1'!$A$33,N272)),MAX($M$2:M271)+1,0)</f>
        <v>270</v>
      </c>
      <c r="V272" s="287" t="s">
        <v>1694</v>
      </c>
      <c r="W272" t="str">
        <f>IFERROR(VLOOKUP(ROWS($W$3:W272),$U$3:$V$718,2,0),"")</f>
        <v>Maloobchod ve stáncích a na trzích</v>
      </c>
      <c r="X272">
        <f>IF(ISNUMBER(SEARCH('1Př1'!$A$34,N272)),MAX($M$2:M271)+1,0)</f>
        <v>270</v>
      </c>
      <c r="Y272" s="287" t="s">
        <v>1694</v>
      </c>
      <c r="Z272" t="str">
        <f>IFERROR(VLOOKUP(ROWS($Z$3:Z272),$X$3:$Y$718,2,0),"")</f>
        <v>Maloobchod ve stáncích a na trzích</v>
      </c>
    </row>
    <row r="273" spans="13:26" ht="25.5">
      <c r="M273" s="286">
        <f>IF(ISNUMBER(SEARCH(ZAKL_DATA!$B$29,N273)),MAX($M$2:M272)+1,0)</f>
        <v>271</v>
      </c>
      <c r="N273" s="791" t="s">
        <v>3555</v>
      </c>
      <c r="O273" s="791" t="s">
        <v>3556</v>
      </c>
      <c r="Q273" s="288" t="str">
        <f>IFERROR(VLOOKUP(ROWS($Q$3:Q273),$M$3:$N$718,2,0),"")</f>
        <v>Podpůrné činnosti pro těžbu a dobývání ostatních nerostných surovin j. n.</v>
      </c>
      <c r="R273">
        <f>IF(ISNUMBER(SEARCH('1Př1'!$A$32,N273)),MAX($M$2:M272)+1,0)</f>
        <v>271</v>
      </c>
      <c r="S273" s="287" t="s">
        <v>1695</v>
      </c>
      <c r="T273" t="str">
        <f>IFERROR(VLOOKUP(ROWS($T$3:T273),$R$3:$S$718,2,0),"")</f>
        <v>Maloobchod mimo prodejny, stánky a trhy</v>
      </c>
      <c r="U273">
        <f>IF(ISNUMBER(SEARCH('1Př1'!$A$33,N273)),MAX($M$2:M272)+1,0)</f>
        <v>271</v>
      </c>
      <c r="V273" s="287" t="s">
        <v>1695</v>
      </c>
      <c r="W273" t="str">
        <f>IFERROR(VLOOKUP(ROWS($W$3:W273),$U$3:$V$718,2,0),"")</f>
        <v>Maloobchod mimo prodejny, stánky a trhy</v>
      </c>
      <c r="X273">
        <f>IF(ISNUMBER(SEARCH('1Př1'!$A$34,N273)),MAX($M$2:M272)+1,0)</f>
        <v>271</v>
      </c>
      <c r="Y273" s="287" t="s">
        <v>1695</v>
      </c>
      <c r="Z273" t="str">
        <f>IFERROR(VLOOKUP(ROWS($Z$3:Z273),$X$3:$Y$718,2,0),"")</f>
        <v>Maloobchod mimo prodejny, stánky a trhy</v>
      </c>
    </row>
    <row r="274" spans="13:26">
      <c r="M274" s="286">
        <f>IF(ISNUMBER(SEARCH(ZAKL_DATA!$B$29,N274)),MAX($M$2:M273)+1,0)</f>
        <v>272</v>
      </c>
      <c r="N274" s="791" t="s">
        <v>3557</v>
      </c>
      <c r="O274" s="791" t="s">
        <v>3558</v>
      </c>
      <c r="Q274" s="288" t="str">
        <f>IFERROR(VLOOKUP(ROWS($Q$3:Q274),$M$3:$N$718,2,0),"")</f>
        <v>Podpůrné činnosti pro těžbu černého uhlí</v>
      </c>
      <c r="R274">
        <f>IF(ISNUMBER(SEARCH('1Př1'!$A$32,N274)),MAX($M$2:M273)+1,0)</f>
        <v>272</v>
      </c>
      <c r="S274" s="287" t="s">
        <v>1696</v>
      </c>
      <c r="T274" t="str">
        <f>IFERROR(VLOOKUP(ROWS($T$3:T274),$R$3:$S$718,2,0),"")</f>
        <v>železniční osobní doprava meziměstská</v>
      </c>
      <c r="U274">
        <f>IF(ISNUMBER(SEARCH('1Př1'!$A$33,N274)),MAX($M$2:M273)+1,0)</f>
        <v>272</v>
      </c>
      <c r="V274" s="287" t="s">
        <v>1696</v>
      </c>
      <c r="W274" t="str">
        <f>IFERROR(VLOOKUP(ROWS($W$3:W274),$U$3:$V$718,2,0),"")</f>
        <v>železniční osobní doprava meziměstská</v>
      </c>
      <c r="X274">
        <f>IF(ISNUMBER(SEARCH('1Př1'!$A$34,N274)),MAX($M$2:M273)+1,0)</f>
        <v>272</v>
      </c>
      <c r="Y274" s="287" t="s">
        <v>1696</v>
      </c>
      <c r="Z274" t="str">
        <f>IFERROR(VLOOKUP(ROWS($Z$3:Z274),$X$3:$Y$718,2,0),"")</f>
        <v>železniční osobní doprava meziměstská</v>
      </c>
    </row>
    <row r="275" spans="13:26" ht="25.5">
      <c r="M275" s="286">
        <f>IF(ISNUMBER(SEARCH(ZAKL_DATA!$B$29,N275)),MAX($M$2:M274)+1,0)</f>
        <v>273</v>
      </c>
      <c r="N275" s="791" t="s">
        <v>3559</v>
      </c>
      <c r="O275" s="791" t="s">
        <v>3560</v>
      </c>
      <c r="Q275" s="288" t="str">
        <f>IFERROR(VLOOKUP(ROWS($Q$3:Q275),$M$3:$N$718,2,0),"")</f>
        <v>Podpůrné činnosti pro těžbu hnědého uhlí, kromě lignitu</v>
      </c>
      <c r="R275">
        <f>IF(ISNUMBER(SEARCH('1Př1'!$A$32,N275)),MAX($M$2:M274)+1,0)</f>
        <v>273</v>
      </c>
      <c r="S275" s="287" t="s">
        <v>1697</v>
      </c>
      <c r="T275" t="str">
        <f>IFERROR(VLOOKUP(ROWS($T$3:T275),$R$3:$S$718,2,0),"")</f>
        <v>železniční nákladní doprava</v>
      </c>
      <c r="U275">
        <f>IF(ISNUMBER(SEARCH('1Př1'!$A$33,N275)),MAX($M$2:M274)+1,0)</f>
        <v>273</v>
      </c>
      <c r="V275" s="287" t="s">
        <v>1697</v>
      </c>
      <c r="W275" t="str">
        <f>IFERROR(VLOOKUP(ROWS($W$3:W275),$U$3:$V$718,2,0),"")</f>
        <v>železniční nákladní doprava</v>
      </c>
      <c r="X275">
        <f>IF(ISNUMBER(SEARCH('1Př1'!$A$34,N275)),MAX($M$2:M274)+1,0)</f>
        <v>273</v>
      </c>
      <c r="Y275" s="287" t="s">
        <v>1697</v>
      </c>
      <c r="Z275" t="str">
        <f>IFERROR(VLOOKUP(ROWS($Z$3:Z275),$X$3:$Y$718,2,0),"")</f>
        <v>železniční nákladní doprava</v>
      </c>
    </row>
    <row r="276" spans="13:26">
      <c r="M276" s="286">
        <f>IF(ISNUMBER(SEARCH(ZAKL_DATA!$B$29,N276)),MAX($M$2:M275)+1,0)</f>
        <v>274</v>
      </c>
      <c r="N276" s="791" t="s">
        <v>3561</v>
      </c>
      <c r="O276" s="791" t="s">
        <v>3562</v>
      </c>
      <c r="Q276" s="288" t="str">
        <f>IFERROR(VLOOKUP(ROWS($Q$3:Q276),$M$3:$N$718,2,0),"")</f>
        <v>Podpůrné činnosti pro těžbu lignitu</v>
      </c>
      <c r="R276">
        <f>IF(ISNUMBER(SEARCH('1Př1'!$A$32,N276)),MAX($M$2:M275)+1,0)</f>
        <v>274</v>
      </c>
      <c r="S276" s="287" t="s">
        <v>1698</v>
      </c>
      <c r="T276" t="str">
        <f>IFERROR(VLOOKUP(ROWS($T$3:T276),$R$3:$S$718,2,0),"")</f>
        <v>Ostatní pozemní osobní doprava</v>
      </c>
      <c r="U276">
        <f>IF(ISNUMBER(SEARCH('1Př1'!$A$33,N276)),MAX($M$2:M275)+1,0)</f>
        <v>274</v>
      </c>
      <c r="V276" s="287" t="s">
        <v>1698</v>
      </c>
      <c r="W276" t="str">
        <f>IFERROR(VLOOKUP(ROWS($W$3:W276),$U$3:$V$718,2,0),"")</f>
        <v>Ostatní pozemní osobní doprava</v>
      </c>
      <c r="X276">
        <f>IF(ISNUMBER(SEARCH('1Př1'!$A$34,N276)),MAX($M$2:M275)+1,0)</f>
        <v>274</v>
      </c>
      <c r="Y276" s="287" t="s">
        <v>1698</v>
      </c>
      <c r="Z276" t="str">
        <f>IFERROR(VLOOKUP(ROWS($Z$3:Z276),$X$3:$Y$718,2,0),"")</f>
        <v>Ostatní pozemní osobní doprava</v>
      </c>
    </row>
    <row r="277" spans="13:26" ht="25.5">
      <c r="M277" s="286">
        <f>IF(ISNUMBER(SEARCH(ZAKL_DATA!$B$29,N277)),MAX($M$2:M276)+1,0)</f>
        <v>275</v>
      </c>
      <c r="N277" s="791" t="s">
        <v>3563</v>
      </c>
      <c r="O277" s="791" t="s">
        <v>3564</v>
      </c>
      <c r="Q277" s="288" t="str">
        <f>IFERROR(VLOOKUP(ROWS($Q$3:Q277),$M$3:$N$718,2,0),"")</f>
        <v>Podpůrné činnosti pro těžbu ostatních neželezných rud</v>
      </c>
      <c r="R277">
        <f>IF(ISNUMBER(SEARCH('1Př1'!$A$32,N277)),MAX($M$2:M276)+1,0)</f>
        <v>275</v>
      </c>
      <c r="S277" s="287" t="s">
        <v>1699</v>
      </c>
      <c r="T277" t="str">
        <f>IFERROR(VLOOKUP(ROWS($T$3:T277),$R$3:$S$718,2,0),"")</f>
        <v>Silniční nákladní doprava a stěhovací služby</v>
      </c>
      <c r="U277">
        <f>IF(ISNUMBER(SEARCH('1Př1'!$A$33,N277)),MAX($M$2:M276)+1,0)</f>
        <v>275</v>
      </c>
      <c r="V277" s="287" t="s">
        <v>1699</v>
      </c>
      <c r="W277" t="str">
        <f>IFERROR(VLOOKUP(ROWS($W$3:W277),$U$3:$V$718,2,0),"")</f>
        <v>Silniční nákladní doprava a stěhovací služby</v>
      </c>
      <c r="X277">
        <f>IF(ISNUMBER(SEARCH('1Př1'!$A$34,N277)),MAX($M$2:M276)+1,0)</f>
        <v>275</v>
      </c>
      <c r="Y277" s="287" t="s">
        <v>1699</v>
      </c>
      <c r="Z277" t="str">
        <f>IFERROR(VLOOKUP(ROWS($Z$3:Z277),$X$3:$Y$718,2,0),"")</f>
        <v>Silniční nákladní doprava a stěhovací služby</v>
      </c>
    </row>
    <row r="278" spans="13:26">
      <c r="M278" s="286">
        <f>IF(ISNUMBER(SEARCH(ZAKL_DATA!$B$29,N278)),MAX($M$2:M277)+1,0)</f>
        <v>276</v>
      </c>
      <c r="N278" s="791" t="s">
        <v>3565</v>
      </c>
      <c r="O278" s="791" t="s">
        <v>3566</v>
      </c>
      <c r="Q278" s="288" t="str">
        <f>IFERROR(VLOOKUP(ROWS($Q$3:Q278),$M$3:$N$718,2,0),"")</f>
        <v>Podpůrné činnosti pro těžbu ropy a zemního plynu</v>
      </c>
      <c r="R278">
        <f>IF(ISNUMBER(SEARCH('1Př1'!$A$32,N278)),MAX($M$2:M277)+1,0)</f>
        <v>276</v>
      </c>
      <c r="S278" s="287" t="s">
        <v>1700</v>
      </c>
      <c r="T278" t="str">
        <f>IFERROR(VLOOKUP(ROWS($T$3:T278),$R$3:$S$718,2,0),"")</f>
        <v>Potrubní doprava</v>
      </c>
      <c r="U278">
        <f>IF(ISNUMBER(SEARCH('1Př1'!$A$33,N278)),MAX($M$2:M277)+1,0)</f>
        <v>276</v>
      </c>
      <c r="V278" s="287" t="s">
        <v>1700</v>
      </c>
      <c r="W278" t="str">
        <f>IFERROR(VLOOKUP(ROWS($W$3:W278),$U$3:$V$718,2,0),"")</f>
        <v>Potrubní doprava</v>
      </c>
      <c r="X278">
        <f>IF(ISNUMBER(SEARCH('1Př1'!$A$34,N278)),MAX($M$2:M277)+1,0)</f>
        <v>276</v>
      </c>
      <c r="Y278" s="287" t="s">
        <v>1700</v>
      </c>
      <c r="Z278" t="str">
        <f>IFERROR(VLOOKUP(ROWS($Z$3:Z278),$X$3:$Y$718,2,0),"")</f>
        <v>Potrubní doprava</v>
      </c>
    </row>
    <row r="279" spans="13:26" ht="25.5">
      <c r="M279" s="286">
        <f>IF(ISNUMBER(SEARCH(ZAKL_DATA!$B$29,N279)),MAX($M$2:M278)+1,0)</f>
        <v>277</v>
      </c>
      <c r="N279" s="791" t="s">
        <v>3567</v>
      </c>
      <c r="O279" s="791" t="s">
        <v>3568</v>
      </c>
      <c r="Q279" s="288" t="str">
        <f>IFERROR(VLOOKUP(ROWS($Q$3:Q279),$M$3:$N$718,2,0),"")</f>
        <v>Podpůrné činnosti pro těžbu uranových a thoriových rud</v>
      </c>
      <c r="R279">
        <f>IF(ISNUMBER(SEARCH('1Př1'!$A$32,N279)),MAX($M$2:M278)+1,0)</f>
        <v>277</v>
      </c>
      <c r="S279" s="287" t="s">
        <v>1701</v>
      </c>
      <c r="T279" t="str">
        <f>IFERROR(VLOOKUP(ROWS($T$3:T279),$R$3:$S$718,2,0),"")</f>
        <v>Námořní a pobřežní osobní doprava</v>
      </c>
      <c r="U279">
        <f>IF(ISNUMBER(SEARCH('1Př1'!$A$33,N279)),MAX($M$2:M278)+1,0)</f>
        <v>277</v>
      </c>
      <c r="V279" s="287" t="s">
        <v>1701</v>
      </c>
      <c r="W279" t="str">
        <f>IFERROR(VLOOKUP(ROWS($W$3:W279),$U$3:$V$718,2,0),"")</f>
        <v>Námořní a pobřežní osobní doprava</v>
      </c>
      <c r="X279">
        <f>IF(ISNUMBER(SEARCH('1Př1'!$A$34,N279)),MAX($M$2:M278)+1,0)</f>
        <v>277</v>
      </c>
      <c r="Y279" s="287" t="s">
        <v>1701</v>
      </c>
      <c r="Z279" t="str">
        <f>IFERROR(VLOOKUP(ROWS($Z$3:Z279),$X$3:$Y$718,2,0),"")</f>
        <v>Námořní a pobřežní osobní doprava</v>
      </c>
    </row>
    <row r="280" spans="13:26">
      <c r="M280" s="286">
        <f>IF(ISNUMBER(SEARCH(ZAKL_DATA!$B$29,N280)),MAX($M$2:M279)+1,0)</f>
        <v>278</v>
      </c>
      <c r="N280" s="791" t="s">
        <v>3569</v>
      </c>
      <c r="O280" s="791" t="s">
        <v>3570</v>
      </c>
      <c r="Q280" s="288" t="str">
        <f>IFERROR(VLOOKUP(ROWS($Q$3:Q280),$M$3:$N$718,2,0),"")</f>
        <v>Podpůrné činnosti pro těžbu železných rud</v>
      </c>
      <c r="R280">
        <f>IF(ISNUMBER(SEARCH('1Př1'!$A$32,N280)),MAX($M$2:M279)+1,0)</f>
        <v>278</v>
      </c>
      <c r="S280" s="287" t="s">
        <v>1702</v>
      </c>
      <c r="T280" t="str">
        <f>IFERROR(VLOOKUP(ROWS($T$3:T280),$R$3:$S$718,2,0),"")</f>
        <v>Námořní a pobřežní nákladní doprava</v>
      </c>
      <c r="U280">
        <f>IF(ISNUMBER(SEARCH('1Př1'!$A$33,N280)),MAX($M$2:M279)+1,0)</f>
        <v>278</v>
      </c>
      <c r="V280" s="287" t="s">
        <v>1702</v>
      </c>
      <c r="W280" t="str">
        <f>IFERROR(VLOOKUP(ROWS($W$3:W280),$U$3:$V$718,2,0),"")</f>
        <v>Námořní a pobřežní nákladní doprava</v>
      </c>
      <c r="X280">
        <f>IF(ISNUMBER(SEARCH('1Př1'!$A$34,N280)),MAX($M$2:M279)+1,0)</f>
        <v>278</v>
      </c>
      <c r="Y280" s="287" t="s">
        <v>1702</v>
      </c>
      <c r="Z280" t="str">
        <f>IFERROR(VLOOKUP(ROWS($Z$3:Z280),$X$3:$Y$718,2,0),"")</f>
        <v>Námořní a pobřežní nákladní doprava</v>
      </c>
    </row>
    <row r="281" spans="13:26">
      <c r="M281" s="286">
        <f>IF(ISNUMBER(SEARCH(ZAKL_DATA!$B$29,N281)),MAX($M$2:M280)+1,0)</f>
        <v>279</v>
      </c>
      <c r="N281" s="791" t="s">
        <v>1349</v>
      </c>
      <c r="O281" s="791" t="s">
        <v>3571</v>
      </c>
      <c r="Q281" s="288" t="str">
        <f>IFERROR(VLOOKUP(ROWS($Q$3:Q281),$M$3:$N$718,2,0),"")</f>
        <v>Podpůrné činnosti pro živočišnou výrobu</v>
      </c>
      <c r="R281">
        <f>IF(ISNUMBER(SEARCH('1Př1'!$A$32,N281)),MAX($M$2:M280)+1,0)</f>
        <v>279</v>
      </c>
      <c r="S281" s="287" t="s">
        <v>1703</v>
      </c>
      <c r="T281" t="str">
        <f>IFERROR(VLOOKUP(ROWS($T$3:T281),$R$3:$S$718,2,0),"")</f>
        <v>Vnitrozemská vodní osobní doprava</v>
      </c>
      <c r="U281">
        <f>IF(ISNUMBER(SEARCH('1Př1'!$A$33,N281)),MAX($M$2:M280)+1,0)</f>
        <v>279</v>
      </c>
      <c r="V281" s="287" t="s">
        <v>1703</v>
      </c>
      <c r="W281" t="str">
        <f>IFERROR(VLOOKUP(ROWS($W$3:W281),$U$3:$V$718,2,0),"")</f>
        <v>Vnitrozemská vodní osobní doprava</v>
      </c>
      <c r="X281">
        <f>IF(ISNUMBER(SEARCH('1Př1'!$A$34,N281)),MAX($M$2:M280)+1,0)</f>
        <v>279</v>
      </c>
      <c r="Y281" s="287" t="s">
        <v>1703</v>
      </c>
      <c r="Z281" t="str">
        <f>IFERROR(VLOOKUP(ROWS($Z$3:Z281),$X$3:$Y$718,2,0),"")</f>
        <v>Vnitrozemská vodní osobní doprava</v>
      </c>
    </row>
    <row r="282" spans="13:26">
      <c r="M282" s="286">
        <f>IF(ISNUMBER(SEARCH(ZAKL_DATA!$B$29,N282)),MAX($M$2:M281)+1,0)</f>
        <v>280</v>
      </c>
      <c r="N282" s="791" t="s">
        <v>3572</v>
      </c>
      <c r="O282" s="791" t="s">
        <v>3573</v>
      </c>
      <c r="Q282" s="288" t="str">
        <f>IFERROR(VLOOKUP(ROWS($Q$3:Q282),$M$3:$N$718,2,0),"")</f>
        <v>Podpůrné činnosti v oblasti vzdělávání j. n.</v>
      </c>
      <c r="R282">
        <f>IF(ISNUMBER(SEARCH('1Př1'!$A$32,N282)),MAX($M$2:M281)+1,0)</f>
        <v>280</v>
      </c>
      <c r="S282" s="287" t="s">
        <v>1704</v>
      </c>
      <c r="T282" t="str">
        <f>IFERROR(VLOOKUP(ROWS($T$3:T282),$R$3:$S$718,2,0),"")</f>
        <v>Vnitrozemská vodní nákladní doprava</v>
      </c>
      <c r="U282">
        <f>IF(ISNUMBER(SEARCH('1Př1'!$A$33,N282)),MAX($M$2:M281)+1,0)</f>
        <v>280</v>
      </c>
      <c r="V282" s="287" t="s">
        <v>1704</v>
      </c>
      <c r="W282" t="str">
        <f>IFERROR(VLOOKUP(ROWS($W$3:W282),$U$3:$V$718,2,0),"")</f>
        <v>Vnitrozemská vodní nákladní doprava</v>
      </c>
      <c r="X282">
        <f>IF(ISNUMBER(SEARCH('1Př1'!$A$34,N282)),MAX($M$2:M281)+1,0)</f>
        <v>280</v>
      </c>
      <c r="Y282" s="287" t="s">
        <v>1704</v>
      </c>
      <c r="Z282" t="str">
        <f>IFERROR(VLOOKUP(ROWS($Z$3:Z282),$X$3:$Y$718,2,0),"")</f>
        <v>Vnitrozemská vodní nákladní doprava</v>
      </c>
    </row>
    <row r="283" spans="13:26">
      <c r="M283" s="286">
        <f>IF(ISNUMBER(SEARCH(ZAKL_DATA!$B$29,N283)),MAX($M$2:M282)+1,0)</f>
        <v>281</v>
      </c>
      <c r="N283" s="791" t="s">
        <v>2189</v>
      </c>
      <c r="O283" s="791" t="s">
        <v>3574</v>
      </c>
      <c r="Q283" s="288" t="str">
        <f>IFERROR(VLOOKUP(ROWS($Q$3:Q283),$M$3:$N$718,2,0),"")</f>
        <v>Pohřební a související činnosti</v>
      </c>
      <c r="R283">
        <f>IF(ISNUMBER(SEARCH('1Př1'!$A$32,N283)),MAX($M$2:M282)+1,0)</f>
        <v>281</v>
      </c>
      <c r="S283" s="287" t="s">
        <v>1705</v>
      </c>
      <c r="T283" t="str">
        <f>IFERROR(VLOOKUP(ROWS($T$3:T283),$R$3:$S$718,2,0),"")</f>
        <v>Letecká osobní doprava</v>
      </c>
      <c r="U283">
        <f>IF(ISNUMBER(SEARCH('1Př1'!$A$33,N283)),MAX($M$2:M282)+1,0)</f>
        <v>281</v>
      </c>
      <c r="V283" s="287" t="s">
        <v>1705</v>
      </c>
      <c r="W283" t="str">
        <f>IFERROR(VLOOKUP(ROWS($W$3:W283),$U$3:$V$718,2,0),"")</f>
        <v>Letecká osobní doprava</v>
      </c>
      <c r="X283">
        <f>IF(ISNUMBER(SEARCH('1Př1'!$A$34,N283)),MAX($M$2:M282)+1,0)</f>
        <v>281</v>
      </c>
      <c r="Y283" s="287" t="s">
        <v>1705</v>
      </c>
      <c r="Z283" t="str">
        <f>IFERROR(VLOOKUP(ROWS($Z$3:Z283),$X$3:$Y$718,2,0),"")</f>
        <v>Letecká osobní doprava</v>
      </c>
    </row>
    <row r="284" spans="13:26">
      <c r="M284" s="286">
        <f>IF(ISNUMBER(SEARCH(ZAKL_DATA!$B$29,N284)),MAX($M$2:M283)+1,0)</f>
        <v>282</v>
      </c>
      <c r="N284" s="791" t="s">
        <v>2034</v>
      </c>
      <c r="O284" s="791" t="s">
        <v>3575</v>
      </c>
      <c r="Q284" s="288" t="str">
        <f>IFERROR(VLOOKUP(ROWS($Q$3:Q284),$M$3:$N$718,2,0),"")</f>
        <v>Pokrývačské práce</v>
      </c>
      <c r="R284">
        <f>IF(ISNUMBER(SEARCH('1Př1'!$A$32,N284)),MAX($M$2:M283)+1,0)</f>
        <v>282</v>
      </c>
      <c r="S284" s="287" t="s">
        <v>1706</v>
      </c>
      <c r="T284" t="str">
        <f>IFERROR(VLOOKUP(ROWS($T$3:T284),$R$3:$S$718,2,0),"")</f>
        <v>Letecká nákladní doprava a kosmická doprava</v>
      </c>
      <c r="U284">
        <f>IF(ISNUMBER(SEARCH('1Př1'!$A$33,N284)),MAX($M$2:M283)+1,0)</f>
        <v>282</v>
      </c>
      <c r="V284" s="287" t="s">
        <v>1706</v>
      </c>
      <c r="W284" t="str">
        <f>IFERROR(VLOOKUP(ROWS($W$3:W284),$U$3:$V$718,2,0),"")</f>
        <v>Letecká nákladní doprava a kosmická doprava</v>
      </c>
      <c r="X284">
        <f>IF(ISNUMBER(SEARCH('1Př1'!$A$34,N284)),MAX($M$2:M283)+1,0)</f>
        <v>282</v>
      </c>
      <c r="Y284" s="287" t="s">
        <v>1706</v>
      </c>
      <c r="Z284" t="str">
        <f>IFERROR(VLOOKUP(ROWS($Z$3:Z284),$X$3:$Y$718,2,0),"")</f>
        <v>Letecká nákladní doprava a kosmická doprava</v>
      </c>
    </row>
    <row r="285" spans="13:26" ht="25.5">
      <c r="M285" s="286">
        <f>IF(ISNUMBER(SEARCH(ZAKL_DATA!$B$29,N285)),MAX($M$2:M284)+1,0)</f>
        <v>283</v>
      </c>
      <c r="N285" s="791" t="s">
        <v>3576</v>
      </c>
      <c r="O285" s="791" t="s">
        <v>3577</v>
      </c>
      <c r="Q285" s="288" t="str">
        <f>IFERROR(VLOOKUP(ROWS($Q$3:Q285),$M$3:$N$718,2,0),"")</f>
        <v>Pomocné činnosti k pojišťování a penzijnímu financování j. n.</v>
      </c>
      <c r="R285">
        <f>IF(ISNUMBER(SEARCH('1Př1'!$A$32,N285)),MAX($M$2:M284)+1,0)</f>
        <v>283</v>
      </c>
      <c r="S285" s="287" t="s">
        <v>1707</v>
      </c>
      <c r="T285" t="str">
        <f>IFERROR(VLOOKUP(ROWS($T$3:T285),$R$3:$S$718,2,0),"")</f>
        <v>Skladování</v>
      </c>
      <c r="U285">
        <f>IF(ISNUMBER(SEARCH('1Př1'!$A$33,N285)),MAX($M$2:M284)+1,0)</f>
        <v>283</v>
      </c>
      <c r="V285" s="287" t="s">
        <v>1707</v>
      </c>
      <c r="W285" t="str">
        <f>IFERROR(VLOOKUP(ROWS($W$3:W285),$U$3:$V$718,2,0),"")</f>
        <v>Skladování</v>
      </c>
      <c r="X285">
        <f>IF(ISNUMBER(SEARCH('1Př1'!$A$34,N285)),MAX($M$2:M284)+1,0)</f>
        <v>283</v>
      </c>
      <c r="Y285" s="287" t="s">
        <v>1707</v>
      </c>
      <c r="Z285" t="str">
        <f>IFERROR(VLOOKUP(ROWS($Z$3:Z285),$X$3:$Y$718,2,0),"")</f>
        <v>Skladování</v>
      </c>
    </row>
    <row r="286" spans="13:26" ht="25.5">
      <c r="M286" s="286">
        <f>IF(ISNUMBER(SEARCH(ZAKL_DATA!$B$29,N286)),MAX($M$2:M285)+1,0)</f>
        <v>284</v>
      </c>
      <c r="N286" s="791" t="s">
        <v>3578</v>
      </c>
      <c r="O286" s="791" t="s">
        <v>3579</v>
      </c>
      <c r="Q286" s="288" t="str">
        <f>IFERROR(VLOOKUP(ROWS($Q$3:Q286),$M$3:$N$718,2,0),"")</f>
        <v>Poradenství v oblasti počítačů a správa počítačových systémů</v>
      </c>
      <c r="R286">
        <f>IF(ISNUMBER(SEARCH('1Př1'!$A$32,N286)),MAX($M$2:M285)+1,0)</f>
        <v>284</v>
      </c>
      <c r="S286" s="287" t="s">
        <v>1708</v>
      </c>
      <c r="T286" t="str">
        <f>IFERROR(VLOOKUP(ROWS($T$3:T286),$R$3:$S$718,2,0),"")</f>
        <v>Vedlejší činnosti v dopravě</v>
      </c>
      <c r="U286">
        <f>IF(ISNUMBER(SEARCH('1Př1'!$A$33,N286)),MAX($M$2:M285)+1,0)</f>
        <v>284</v>
      </c>
      <c r="V286" s="287" t="s">
        <v>1708</v>
      </c>
      <c r="W286" t="str">
        <f>IFERROR(VLOOKUP(ROWS($W$3:W286),$U$3:$V$718,2,0),"")</f>
        <v>Vedlejší činnosti v dopravě</v>
      </c>
      <c r="X286">
        <f>IF(ISNUMBER(SEARCH('1Př1'!$A$34,N286)),MAX($M$2:M285)+1,0)</f>
        <v>284</v>
      </c>
      <c r="Y286" s="287" t="s">
        <v>1708</v>
      </c>
      <c r="Z286" t="str">
        <f>IFERROR(VLOOKUP(ROWS($Z$3:Z286),$X$3:$Y$718,2,0),"")</f>
        <v>Vedlejší činnosti v dopravě</v>
      </c>
    </row>
    <row r="287" spans="13:26">
      <c r="M287" s="286">
        <f>IF(ISNUMBER(SEARCH(ZAKL_DATA!$B$29,N287)),MAX($M$2:M286)+1,0)</f>
        <v>285</v>
      </c>
      <c r="N287" s="791" t="s">
        <v>3580</v>
      </c>
      <c r="O287" s="791" t="s">
        <v>3581</v>
      </c>
      <c r="Q287" s="288" t="str">
        <f>IFERROR(VLOOKUP(ROWS($Q$3:Q287),$M$3:$N$718,2,0),"")</f>
        <v>Poradenství v oblasti podnikání a řízení podniků</v>
      </c>
      <c r="R287">
        <f>IF(ISNUMBER(SEARCH('1Př1'!$A$32,N287)),MAX($M$2:M286)+1,0)</f>
        <v>285</v>
      </c>
      <c r="S287" s="287" t="s">
        <v>1709</v>
      </c>
      <c r="T287" t="str">
        <f>IFERROR(VLOOKUP(ROWS($T$3:T287),$R$3:$S$718,2,0),"")</f>
        <v>Základní poštovní služby poskytované na základě poštovní licence</v>
      </c>
      <c r="U287">
        <f>IF(ISNUMBER(SEARCH('1Př1'!$A$33,N287)),MAX($M$2:M286)+1,0)</f>
        <v>285</v>
      </c>
      <c r="V287" s="287" t="s">
        <v>1709</v>
      </c>
      <c r="W287" t="str">
        <f>IFERROR(VLOOKUP(ROWS($W$3:W287),$U$3:$V$718,2,0),"")</f>
        <v>Základní poštovní služby poskytované na základě poštovní licence</v>
      </c>
      <c r="X287">
        <f>IF(ISNUMBER(SEARCH('1Př1'!$A$34,N287)),MAX($M$2:M286)+1,0)</f>
        <v>285</v>
      </c>
      <c r="Y287" s="287" t="s">
        <v>1709</v>
      </c>
      <c r="Z287" t="str">
        <f>IFERROR(VLOOKUP(ROWS($Z$3:Z287),$X$3:$Y$718,2,0),"")</f>
        <v>Základní poštovní služby poskytované na základě poštovní licence</v>
      </c>
    </row>
    <row r="288" spans="13:26">
      <c r="M288" s="286">
        <f>IF(ISNUMBER(SEARCH(ZAKL_DATA!$B$29,N288)),MAX($M$2:M287)+1,0)</f>
        <v>286</v>
      </c>
      <c r="N288" s="791" t="s">
        <v>3582</v>
      </c>
      <c r="O288" s="791" t="s">
        <v>3583</v>
      </c>
      <c r="Q288" s="288" t="str">
        <f>IFERROR(VLOOKUP(ROWS($Q$3:Q288),$M$3:$N$718,2,0),"")</f>
        <v>Pořádání kongresů a veletrhů</v>
      </c>
      <c r="R288">
        <f>IF(ISNUMBER(SEARCH('1Př1'!$A$32,N288)),MAX($M$2:M287)+1,0)</f>
        <v>286</v>
      </c>
      <c r="S288" s="287" t="s">
        <v>1710</v>
      </c>
      <c r="T288" t="str">
        <f>IFERROR(VLOOKUP(ROWS($T$3:T288),$R$3:$S$718,2,0),"")</f>
        <v>Ostatní poštovní a kurýrní činnosti</v>
      </c>
      <c r="U288">
        <f>IF(ISNUMBER(SEARCH('1Př1'!$A$33,N288)),MAX($M$2:M287)+1,0)</f>
        <v>286</v>
      </c>
      <c r="V288" s="287" t="s">
        <v>1710</v>
      </c>
      <c r="W288" t="str">
        <f>IFERROR(VLOOKUP(ROWS($W$3:W288),$U$3:$V$718,2,0),"")</f>
        <v>Ostatní poštovní a kurýrní činnosti</v>
      </c>
      <c r="X288">
        <f>IF(ISNUMBER(SEARCH('1Př1'!$A$34,N288)),MAX($M$2:M287)+1,0)</f>
        <v>286</v>
      </c>
      <c r="Y288" s="287" t="s">
        <v>1710</v>
      </c>
      <c r="Z288" t="str">
        <f>IFERROR(VLOOKUP(ROWS($Z$3:Z288),$X$3:$Y$718,2,0),"")</f>
        <v>Ostatní poštovní a kurýrní činnosti</v>
      </c>
    </row>
    <row r="289" spans="13:26" ht="25.5">
      <c r="M289" s="286">
        <f>IF(ISNUMBER(SEARCH(ZAKL_DATA!$B$29,N289)),MAX($M$2:M288)+1,0)</f>
        <v>287</v>
      </c>
      <c r="N289" s="791" t="s">
        <v>1721</v>
      </c>
      <c r="O289" s="791" t="s">
        <v>3584</v>
      </c>
      <c r="Q289" s="288" t="str">
        <f>IFERROR(VLOOKUP(ROWS($Q$3:Q289),$M$3:$N$718,2,0),"")</f>
        <v>Pořizování zvukových nahrávek a hudební vydavatelské činnosti</v>
      </c>
      <c r="R289">
        <f>IF(ISNUMBER(SEARCH('1Př1'!$A$32,N289)),MAX($M$2:M288)+1,0)</f>
        <v>287</v>
      </c>
      <c r="S289" s="287" t="s">
        <v>1711</v>
      </c>
      <c r="T289" t="str">
        <f>IFERROR(VLOOKUP(ROWS($T$3:T289),$R$3:$S$718,2,0),"")</f>
        <v>Ubytování v hotelích a podobných ubytovacích zařízeních</v>
      </c>
      <c r="U289">
        <f>IF(ISNUMBER(SEARCH('1Př1'!$A$33,N289)),MAX($M$2:M288)+1,0)</f>
        <v>287</v>
      </c>
      <c r="V289" s="287" t="s">
        <v>1711</v>
      </c>
      <c r="W289" t="str">
        <f>IFERROR(VLOOKUP(ROWS($W$3:W289),$U$3:$V$718,2,0),"")</f>
        <v>Ubytování v hotelích a podobných ubytovacích zařízeních</v>
      </c>
      <c r="X289">
        <f>IF(ISNUMBER(SEARCH('1Př1'!$A$34,N289)),MAX($M$2:M288)+1,0)</f>
        <v>287</v>
      </c>
      <c r="Y289" s="287" t="s">
        <v>1711</v>
      </c>
      <c r="Z289" t="str">
        <f>IFERROR(VLOOKUP(ROWS($Z$3:Z289),$X$3:$Y$718,2,0),"")</f>
        <v>Ubytování v hotelích a podobných ubytovacích zařízeních</v>
      </c>
    </row>
    <row r="290" spans="13:26" ht="25.5">
      <c r="M290" s="286">
        <f>IF(ISNUMBER(SEARCH(ZAKL_DATA!$B$29,N290)),MAX($M$2:M289)+1,0)</f>
        <v>288</v>
      </c>
      <c r="N290" s="791" t="s">
        <v>3585</v>
      </c>
      <c r="O290" s="791" t="s">
        <v>3586</v>
      </c>
      <c r="Q290" s="288" t="str">
        <f>IFERROR(VLOOKUP(ROWS($Q$3:Q290),$M$3:$N$718,2,0),"")</f>
        <v>Posklizňové činnosti a zpracování osiva pro účely množení</v>
      </c>
      <c r="R290">
        <f>IF(ISNUMBER(SEARCH('1Př1'!$A$32,N290)),MAX($M$2:M289)+1,0)</f>
        <v>288</v>
      </c>
      <c r="S290" s="287" t="s">
        <v>1712</v>
      </c>
      <c r="T290" t="str">
        <f>IFERROR(VLOOKUP(ROWS($T$3:T290),$R$3:$S$718,2,0),"")</f>
        <v>Rekreační a ostatní krátkodobé ubytování</v>
      </c>
      <c r="U290">
        <f>IF(ISNUMBER(SEARCH('1Př1'!$A$33,N290)),MAX($M$2:M289)+1,0)</f>
        <v>288</v>
      </c>
      <c r="V290" s="287" t="s">
        <v>1712</v>
      </c>
      <c r="W290" t="str">
        <f>IFERROR(VLOOKUP(ROWS($W$3:W290),$U$3:$V$718,2,0),"")</f>
        <v>Rekreační a ostatní krátkodobé ubytování</v>
      </c>
      <c r="X290">
        <f>IF(ISNUMBER(SEARCH('1Př1'!$A$34,N290)),MAX($M$2:M289)+1,0)</f>
        <v>288</v>
      </c>
      <c r="Y290" s="287" t="s">
        <v>1712</v>
      </c>
      <c r="Z290" t="str">
        <f>IFERROR(VLOOKUP(ROWS($Z$3:Z290),$X$3:$Y$718,2,0),"")</f>
        <v>Rekreační a ostatní krátkodobé ubytování</v>
      </c>
    </row>
    <row r="291" spans="13:26" ht="25.5">
      <c r="M291" s="286">
        <f>IF(ISNUMBER(SEARCH(ZAKL_DATA!$B$29,N291)),MAX($M$2:M290)+1,0)</f>
        <v>289</v>
      </c>
      <c r="N291" s="791" t="s">
        <v>3587</v>
      </c>
      <c r="O291" s="791" t="s">
        <v>3588</v>
      </c>
      <c r="Q291" s="288" t="str">
        <f>IFERROR(VLOOKUP(ROWS($Q$3:Q291),$M$3:$N$718,2,0),"")</f>
        <v>Poskytování jiných úvěrů společnostmi, které nepřijímají vklady</v>
      </c>
      <c r="R291">
        <f>IF(ISNUMBER(SEARCH('1Př1'!$A$32,N291)),MAX($M$2:M290)+1,0)</f>
        <v>289</v>
      </c>
      <c r="S291" s="287" t="s">
        <v>1713</v>
      </c>
      <c r="T291" t="str">
        <f>IFERROR(VLOOKUP(ROWS($T$3:T291),$R$3:$S$718,2,0),"")</f>
        <v>Kempy a tábořiště</v>
      </c>
      <c r="U291">
        <f>IF(ISNUMBER(SEARCH('1Př1'!$A$33,N291)),MAX($M$2:M290)+1,0)</f>
        <v>289</v>
      </c>
      <c r="V291" s="287" t="s">
        <v>1713</v>
      </c>
      <c r="W291" t="str">
        <f>IFERROR(VLOOKUP(ROWS($W$3:W291),$U$3:$V$718,2,0),"")</f>
        <v>Kempy a tábořiště</v>
      </c>
      <c r="X291">
        <f>IF(ISNUMBER(SEARCH('1Př1'!$A$34,N291)),MAX($M$2:M290)+1,0)</f>
        <v>289</v>
      </c>
      <c r="Y291" s="287" t="s">
        <v>1713</v>
      </c>
      <c r="Z291" t="str">
        <f>IFERROR(VLOOKUP(ROWS($Z$3:Z291),$X$3:$Y$718,2,0),"")</f>
        <v>Kempy a tábořiště</v>
      </c>
    </row>
    <row r="292" spans="13:26">
      <c r="M292" s="286">
        <f>IF(ISNUMBER(SEARCH(ZAKL_DATA!$B$29,N292)),MAX($M$2:M291)+1,0)</f>
        <v>290</v>
      </c>
      <c r="N292" s="791" t="s">
        <v>3589</v>
      </c>
      <c r="O292" s="791" t="s">
        <v>3590</v>
      </c>
      <c r="Q292" s="288" t="str">
        <f>IFERROR(VLOOKUP(ROWS($Q$3:Q292),$M$3:$N$718,2,0),"")</f>
        <v>Poskytování osobních služeb v domácnostech</v>
      </c>
      <c r="R292">
        <f>IF(ISNUMBER(SEARCH('1Př1'!$A$32,N292)),MAX($M$2:M291)+1,0)</f>
        <v>290</v>
      </c>
      <c r="S292" s="287" t="s">
        <v>1714</v>
      </c>
      <c r="T292" t="str">
        <f>IFERROR(VLOOKUP(ROWS($T$3:T292),$R$3:$S$718,2,0),"")</f>
        <v>Ostatní ubytování</v>
      </c>
      <c r="U292">
        <f>IF(ISNUMBER(SEARCH('1Př1'!$A$33,N292)),MAX($M$2:M291)+1,0)</f>
        <v>290</v>
      </c>
      <c r="V292" s="287" t="s">
        <v>1714</v>
      </c>
      <c r="W292" t="str">
        <f>IFERROR(VLOOKUP(ROWS($W$3:W292),$U$3:$V$718,2,0),"")</f>
        <v>Ostatní ubytování</v>
      </c>
      <c r="X292">
        <f>IF(ISNUMBER(SEARCH('1Př1'!$A$34,N292)),MAX($M$2:M291)+1,0)</f>
        <v>290</v>
      </c>
      <c r="Y292" s="287" t="s">
        <v>1714</v>
      </c>
      <c r="Z292" t="str">
        <f>IFERROR(VLOOKUP(ROWS($Z$3:Z292),$X$3:$Y$718,2,0),"")</f>
        <v>Ostatní ubytování</v>
      </c>
    </row>
    <row r="293" spans="13:26">
      <c r="M293" s="286">
        <f>IF(ISNUMBER(SEARCH(ZAKL_DATA!$B$29,N293)),MAX($M$2:M292)+1,0)</f>
        <v>291</v>
      </c>
      <c r="N293" s="791" t="s">
        <v>2190</v>
      </c>
      <c r="O293" s="791" t="s">
        <v>3591</v>
      </c>
      <c r="Q293" s="288" t="str">
        <f>IFERROR(VLOOKUP(ROWS($Q$3:Q293),$M$3:$N$718,2,0),"")</f>
        <v>Poskytování ostatních osobních služeb j. n.</v>
      </c>
      <c r="R293">
        <f>IF(ISNUMBER(SEARCH('1Př1'!$A$32,N293)),MAX($M$2:M292)+1,0)</f>
        <v>291</v>
      </c>
      <c r="S293" s="287" t="s">
        <v>1715</v>
      </c>
      <c r="T293" t="str">
        <f>IFERROR(VLOOKUP(ROWS($T$3:T293),$R$3:$S$718,2,0),"")</f>
        <v>Stravování v restauracích, u stánků a v mobilních zařízeních</v>
      </c>
      <c r="U293">
        <f>IF(ISNUMBER(SEARCH('1Př1'!$A$33,N293)),MAX($M$2:M292)+1,0)</f>
        <v>291</v>
      </c>
      <c r="V293" s="287" t="s">
        <v>1715</v>
      </c>
      <c r="W293" t="str">
        <f>IFERROR(VLOOKUP(ROWS($W$3:W293),$U$3:$V$718,2,0),"")</f>
        <v>Stravování v restauracích, u stánků a v mobilních zařízeních</v>
      </c>
      <c r="X293">
        <f>IF(ISNUMBER(SEARCH('1Př1'!$A$34,N293)),MAX($M$2:M292)+1,0)</f>
        <v>291</v>
      </c>
      <c r="Y293" s="287" t="s">
        <v>1715</v>
      </c>
      <c r="Z293" t="str">
        <f>IFERROR(VLOOKUP(ROWS($Z$3:Z293),$X$3:$Y$718,2,0),"")</f>
        <v>Stravování v restauracích, u stánků a v mobilních zařízeních</v>
      </c>
    </row>
    <row r="294" spans="13:26" ht="25.5">
      <c r="M294" s="286">
        <f>IF(ISNUMBER(SEARCH(ZAKL_DATA!$B$29,N294)),MAX($M$2:M293)+1,0)</f>
        <v>292</v>
      </c>
      <c r="N294" s="791" t="s">
        <v>3592</v>
      </c>
      <c r="O294" s="791" t="s">
        <v>3593</v>
      </c>
      <c r="Q294" s="288" t="str">
        <f>IFERROR(VLOOKUP(ROWS($Q$3:Q294),$M$3:$N$718,2,0),"")</f>
        <v>Poskytování počítačové infrastruktury, zpracování dat, hosting a související činnosti</v>
      </c>
      <c r="R294">
        <f>IF(ISNUMBER(SEARCH('1Př1'!$A$32,N294)),MAX($M$2:M293)+1,0)</f>
        <v>292</v>
      </c>
      <c r="S294" s="287" t="s">
        <v>1716</v>
      </c>
      <c r="T294" t="str">
        <f>IFERROR(VLOOKUP(ROWS($T$3:T294),$R$3:$S$718,2,0),"")</f>
        <v>Poskytování cateringových a ostatních stravovacích služeb</v>
      </c>
      <c r="U294">
        <f>IF(ISNUMBER(SEARCH('1Př1'!$A$33,N294)),MAX($M$2:M293)+1,0)</f>
        <v>292</v>
      </c>
      <c r="V294" s="287" t="s">
        <v>1716</v>
      </c>
      <c r="W294" t="str">
        <f>IFERROR(VLOOKUP(ROWS($W$3:W294),$U$3:$V$718,2,0),"")</f>
        <v>Poskytování cateringových a ostatních stravovacích služeb</v>
      </c>
      <c r="X294">
        <f>IF(ISNUMBER(SEARCH('1Př1'!$A$34,N294)),MAX($M$2:M293)+1,0)</f>
        <v>292</v>
      </c>
      <c r="Y294" s="287" t="s">
        <v>1716</v>
      </c>
      <c r="Z294" t="str">
        <f>IFERROR(VLOOKUP(ROWS($Z$3:Z294),$X$3:$Y$718,2,0),"")</f>
        <v>Poskytování cateringových a ostatních stravovacích služeb</v>
      </c>
    </row>
    <row r="295" spans="13:26" ht="25.5">
      <c r="M295" s="286">
        <f>IF(ISNUMBER(SEARCH(ZAKL_DATA!$B$29,N295)),MAX($M$2:M294)+1,0)</f>
        <v>293</v>
      </c>
      <c r="N295" s="791" t="s">
        <v>3594</v>
      </c>
      <c r="O295" s="791" t="s">
        <v>3595</v>
      </c>
      <c r="Q295" s="288" t="str">
        <f>IFERROR(VLOOKUP(ROWS($Q$3:Q295),$M$3:$N$718,2,0),"")</f>
        <v>Poskytování smluvních a ostatních stravovacích služeb</v>
      </c>
      <c r="R295">
        <f>IF(ISNUMBER(SEARCH('1Př1'!$A$32,N295)),MAX($M$2:M294)+1,0)</f>
        <v>293</v>
      </c>
      <c r="S295" s="287" t="s">
        <v>1717</v>
      </c>
      <c r="T295" t="str">
        <f>IFERROR(VLOOKUP(ROWS($T$3:T295),$R$3:$S$718,2,0),"")</f>
        <v>Pohostinství</v>
      </c>
      <c r="U295">
        <f>IF(ISNUMBER(SEARCH('1Př1'!$A$33,N295)),MAX($M$2:M294)+1,0)</f>
        <v>293</v>
      </c>
      <c r="V295" s="287" t="s">
        <v>1717</v>
      </c>
      <c r="W295" t="str">
        <f>IFERROR(VLOOKUP(ROWS($W$3:W295),$U$3:$V$718,2,0),"")</f>
        <v>Pohostinství</v>
      </c>
      <c r="X295">
        <f>IF(ISNUMBER(SEARCH('1Př1'!$A$34,N295)),MAX($M$2:M294)+1,0)</f>
        <v>293</v>
      </c>
      <c r="Y295" s="287" t="s">
        <v>1717</v>
      </c>
      <c r="Z295" t="str">
        <f>IFERROR(VLOOKUP(ROWS($Z$3:Z295),$X$3:$Y$718,2,0),"")</f>
        <v>Pohostinství</v>
      </c>
    </row>
    <row r="296" spans="13:26" ht="25.5">
      <c r="M296" s="286">
        <f>IF(ISNUMBER(SEARCH(ZAKL_DATA!$B$29,N296)),MAX($M$2:M295)+1,0)</f>
        <v>294</v>
      </c>
      <c r="N296" s="791" t="s">
        <v>3596</v>
      </c>
      <c r="O296" s="791" t="s">
        <v>3597</v>
      </c>
      <c r="Q296" s="288" t="str">
        <f>IFERROR(VLOOKUP(ROWS($Q$3:Q296),$M$3:$N$718,2,0),"")</f>
        <v>Poskytování spotřebitelských úvěrů společnostmi, které nepřijímají vklady</v>
      </c>
      <c r="R296">
        <f>IF(ISNUMBER(SEARCH('1Př1'!$A$32,N296)),MAX($M$2:M295)+1,0)</f>
        <v>294</v>
      </c>
      <c r="S296" s="287" t="s">
        <v>1718</v>
      </c>
      <c r="T296" t="str">
        <f>IFERROR(VLOOKUP(ROWS($T$3:T296),$R$3:$S$718,2,0),"")</f>
        <v>Vydávání knih, periodických publikací a ostatní vydavatelské činnosti</v>
      </c>
      <c r="U296">
        <f>IF(ISNUMBER(SEARCH('1Př1'!$A$33,N296)),MAX($M$2:M295)+1,0)</f>
        <v>294</v>
      </c>
      <c r="V296" s="287" t="s">
        <v>1718</v>
      </c>
      <c r="W296" t="str">
        <f>IFERROR(VLOOKUP(ROWS($W$3:W296),$U$3:$V$718,2,0),"")</f>
        <v>Vydávání knih, periodických publikací a ostatní vydavatelské činnosti</v>
      </c>
      <c r="X296">
        <f>IF(ISNUMBER(SEARCH('1Př1'!$A$34,N296)),MAX($M$2:M295)+1,0)</f>
        <v>294</v>
      </c>
      <c r="Y296" s="287" t="s">
        <v>1718</v>
      </c>
      <c r="Z296" t="str">
        <f>IFERROR(VLOOKUP(ROWS($Z$3:Z296),$X$3:$Y$718,2,0),"")</f>
        <v>Vydávání knih, periodických publikací a ostatní vydavatelské činnosti</v>
      </c>
    </row>
    <row r="297" spans="13:26" ht="25.5">
      <c r="M297" s="286">
        <f>IF(ISNUMBER(SEARCH(ZAKL_DATA!$B$29,N297)),MAX($M$2:M296)+1,0)</f>
        <v>295</v>
      </c>
      <c r="N297" s="791" t="s">
        <v>3598</v>
      </c>
      <c r="O297" s="791" t="s">
        <v>3599</v>
      </c>
      <c r="Q297" s="288" t="str">
        <f>IFERROR(VLOOKUP(ROWS($Q$3:Q297),$M$3:$N$718,2,0),"")</f>
        <v>Poskytování stravování u stánků a mobilních zařízení</v>
      </c>
      <c r="R297">
        <f>IF(ISNUMBER(SEARCH('1Př1'!$A$32,N297)),MAX($M$2:M296)+1,0)</f>
        <v>295</v>
      </c>
      <c r="S297" s="287" t="s">
        <v>1719</v>
      </c>
      <c r="T297" t="str">
        <f>IFERROR(VLOOKUP(ROWS($T$3:T297),$R$3:$S$718,2,0),"")</f>
        <v>Vydávání softwaru</v>
      </c>
      <c r="U297">
        <f>IF(ISNUMBER(SEARCH('1Př1'!$A$33,N297)),MAX($M$2:M296)+1,0)</f>
        <v>295</v>
      </c>
      <c r="V297" s="287" t="s">
        <v>1719</v>
      </c>
      <c r="W297" t="str">
        <f>IFERROR(VLOOKUP(ROWS($W$3:W297),$U$3:$V$718,2,0),"")</f>
        <v>Vydávání softwaru</v>
      </c>
      <c r="X297">
        <f>IF(ISNUMBER(SEARCH('1Př1'!$A$34,N297)),MAX($M$2:M296)+1,0)</f>
        <v>295</v>
      </c>
      <c r="Y297" s="287" t="s">
        <v>1719</v>
      </c>
      <c r="Z297" t="str">
        <f>IFERROR(VLOOKUP(ROWS($Z$3:Z297),$X$3:$Y$718,2,0),"")</f>
        <v>Vydávání softwaru</v>
      </c>
    </row>
    <row r="298" spans="13:26">
      <c r="M298" s="286">
        <f>IF(ISNUMBER(SEARCH(ZAKL_DATA!$B$29,N298)),MAX($M$2:M297)+1,0)</f>
        <v>296</v>
      </c>
      <c r="N298" s="791" t="s">
        <v>3600</v>
      </c>
      <c r="O298" s="791" t="s">
        <v>3601</v>
      </c>
      <c r="Q298" s="288" t="str">
        <f>IFERROR(VLOOKUP(ROWS($Q$3:Q298),$M$3:$N$718,2,0),"")</f>
        <v>Poskytování stravování v restauracích</v>
      </c>
      <c r="R298">
        <f>IF(ISNUMBER(SEARCH('1Př1'!$A$32,N298)),MAX($M$2:M297)+1,0)</f>
        <v>296</v>
      </c>
      <c r="S298" s="287" t="s">
        <v>1720</v>
      </c>
      <c r="T298" t="str">
        <f>IFERROR(VLOOKUP(ROWS($T$3:T298),$R$3:$S$718,2,0),"")</f>
        <v>Činnosti v oblasti filmů, videozáznamů a televizních programů</v>
      </c>
      <c r="U298">
        <f>IF(ISNUMBER(SEARCH('1Př1'!$A$33,N298)),MAX($M$2:M297)+1,0)</f>
        <v>296</v>
      </c>
      <c r="V298" s="287" t="s">
        <v>1720</v>
      </c>
      <c r="W298" t="str">
        <f>IFERROR(VLOOKUP(ROWS($W$3:W298),$U$3:$V$718,2,0),"")</f>
        <v>Činnosti v oblasti filmů, videozáznamů a televizních programů</v>
      </c>
      <c r="X298">
        <f>IF(ISNUMBER(SEARCH('1Př1'!$A$34,N298)),MAX($M$2:M297)+1,0)</f>
        <v>296</v>
      </c>
      <c r="Y298" s="287" t="s">
        <v>1720</v>
      </c>
      <c r="Z298" t="str">
        <f>IFERROR(VLOOKUP(ROWS($Z$3:Z298),$X$3:$Y$718,2,0),"")</f>
        <v>Činnosti v oblasti filmů, videozáznamů a televizních programů</v>
      </c>
    </row>
    <row r="299" spans="13:26" ht="25.5">
      <c r="M299" s="286">
        <f>IF(ISNUMBER(SEARCH(ZAKL_DATA!$B$29,N299)),MAX($M$2:M298)+1,0)</f>
        <v>297</v>
      </c>
      <c r="N299" s="791" t="s">
        <v>3602</v>
      </c>
      <c r="O299" s="791" t="s">
        <v>3603</v>
      </c>
      <c r="Q299" s="288" t="str">
        <f>IFERROR(VLOOKUP(ROWS($Q$3:Q299),$M$3:$N$718,2,0),"")</f>
        <v>Postprodukce filmů, videozáznamů a televizních pořadů</v>
      </c>
      <c r="R299">
        <f>IF(ISNUMBER(SEARCH('1Př1'!$A$32,N299)),MAX($M$2:M298)+1,0)</f>
        <v>297</v>
      </c>
      <c r="S299" s="287" t="s">
        <v>1721</v>
      </c>
      <c r="T299" t="str">
        <f>IFERROR(VLOOKUP(ROWS($T$3:T299),$R$3:$S$718,2,0),"")</f>
        <v>Pořizování zvukových nahrávek a hudební vydavatelské činnosti</v>
      </c>
      <c r="U299">
        <f>IF(ISNUMBER(SEARCH('1Př1'!$A$33,N299)),MAX($M$2:M298)+1,0)</f>
        <v>297</v>
      </c>
      <c r="V299" s="287" t="s">
        <v>1721</v>
      </c>
      <c r="W299" t="str">
        <f>IFERROR(VLOOKUP(ROWS($W$3:W299),$U$3:$V$718,2,0),"")</f>
        <v>Pořizování zvukových nahrávek a hudební vydavatelské činnosti</v>
      </c>
      <c r="X299">
        <f>IF(ISNUMBER(SEARCH('1Př1'!$A$34,N299)),MAX($M$2:M298)+1,0)</f>
        <v>297</v>
      </c>
      <c r="Y299" s="287" t="s">
        <v>1721</v>
      </c>
      <c r="Z299" t="str">
        <f>IFERROR(VLOOKUP(ROWS($Z$3:Z299),$X$3:$Y$718,2,0),"")</f>
        <v>Pořizování zvukových nahrávek a hudební vydavatelské činnosti</v>
      </c>
    </row>
    <row r="300" spans="13:26">
      <c r="M300" s="286">
        <f>IF(ISNUMBER(SEARCH(ZAKL_DATA!$B$29,N300)),MAX($M$2:M299)+1,0)</f>
        <v>298</v>
      </c>
      <c r="N300" s="791" t="s">
        <v>3604</v>
      </c>
      <c r="O300" s="791" t="s">
        <v>3605</v>
      </c>
      <c r="Q300" s="288" t="str">
        <f>IFERROR(VLOOKUP(ROWS($Q$3:Q300),$M$3:$N$718,2,0),"")</f>
        <v>Postsekundární neterciární vzdělávání</v>
      </c>
      <c r="R300">
        <f>IF(ISNUMBER(SEARCH('1Př1'!$A$32,N300)),MAX($M$2:M299)+1,0)</f>
        <v>298</v>
      </c>
      <c r="S300" s="287" t="s">
        <v>1722</v>
      </c>
      <c r="T300" t="str">
        <f>IFERROR(VLOOKUP(ROWS($T$3:T300),$R$3:$S$718,2,0),"")</f>
        <v>Rozhlasové vysílání</v>
      </c>
      <c r="U300">
        <f>IF(ISNUMBER(SEARCH('1Př1'!$A$33,N300)),MAX($M$2:M299)+1,0)</f>
        <v>298</v>
      </c>
      <c r="V300" s="287" t="s">
        <v>1722</v>
      </c>
      <c r="W300" t="str">
        <f>IFERROR(VLOOKUP(ROWS($W$3:W300),$U$3:$V$718,2,0),"")</f>
        <v>Rozhlasové vysílání</v>
      </c>
      <c r="X300">
        <f>IF(ISNUMBER(SEARCH('1Př1'!$A$34,N300)),MAX($M$2:M299)+1,0)</f>
        <v>298</v>
      </c>
      <c r="Y300" s="287" t="s">
        <v>1722</v>
      </c>
      <c r="Z300" t="str">
        <f>IFERROR(VLOOKUP(ROWS($Z$3:Z300),$X$3:$Y$718,2,0),"")</f>
        <v>Rozhlasové vysílání</v>
      </c>
    </row>
    <row r="301" spans="13:26">
      <c r="M301" s="286">
        <f>IF(ISNUMBER(SEARCH(ZAKL_DATA!$B$29,N301)),MAX($M$2:M300)+1,0)</f>
        <v>299</v>
      </c>
      <c r="N301" s="791" t="s">
        <v>1700</v>
      </c>
      <c r="O301" s="791" t="s">
        <v>3606</v>
      </c>
      <c r="Q301" s="288" t="str">
        <f>IFERROR(VLOOKUP(ROWS($Q$3:Q301),$M$3:$N$718,2,0),"")</f>
        <v>Potrubní doprava</v>
      </c>
      <c r="R301">
        <f>IF(ISNUMBER(SEARCH('1Př1'!$A$32,N301)),MAX($M$2:M300)+1,0)</f>
        <v>299</v>
      </c>
      <c r="S301" s="287" t="s">
        <v>1723</v>
      </c>
      <c r="T301" t="str">
        <f>IFERROR(VLOOKUP(ROWS($T$3:T301),$R$3:$S$718,2,0),"")</f>
        <v>Tvorba televizních programů a televizní vysílání</v>
      </c>
      <c r="U301">
        <f>IF(ISNUMBER(SEARCH('1Př1'!$A$33,N301)),MAX($M$2:M300)+1,0)</f>
        <v>299</v>
      </c>
      <c r="V301" s="287" t="s">
        <v>1723</v>
      </c>
      <c r="W301" t="str">
        <f>IFERROR(VLOOKUP(ROWS($W$3:W301),$U$3:$V$718,2,0),"")</f>
        <v>Tvorba televizních programů a televizní vysílání</v>
      </c>
      <c r="X301">
        <f>IF(ISNUMBER(SEARCH('1Př1'!$A$34,N301)),MAX($M$2:M300)+1,0)</f>
        <v>299</v>
      </c>
      <c r="Y301" s="287" t="s">
        <v>1723</v>
      </c>
      <c r="Z301" t="str">
        <f>IFERROR(VLOOKUP(ROWS($Z$3:Z301),$X$3:$Y$718,2,0),"")</f>
        <v>Tvorba televizních programů a televizní vysílání</v>
      </c>
    </row>
    <row r="302" spans="13:26">
      <c r="M302" s="286">
        <f>IF(ISNUMBER(SEARCH(ZAKL_DATA!$B$29,N302)),MAX($M$2:M301)+1,0)</f>
        <v>300</v>
      </c>
      <c r="N302" s="791" t="s">
        <v>3607</v>
      </c>
      <c r="O302" s="791" t="s">
        <v>3608</v>
      </c>
      <c r="Q302" s="288" t="str">
        <f>IFERROR(VLOOKUP(ROWS($Q$3:Q302),$M$3:$N$718,2,0),"")</f>
        <v>Povlakování kovů</v>
      </c>
      <c r="R302">
        <f>IF(ISNUMBER(SEARCH('1Př1'!$A$32,N302)),MAX($M$2:M301)+1,0)</f>
        <v>300</v>
      </c>
      <c r="S302" s="287" t="s">
        <v>1724</v>
      </c>
      <c r="T302" t="str">
        <f>IFERROR(VLOOKUP(ROWS($T$3:T302),$R$3:$S$718,2,0),"")</f>
        <v>Činnosti související s pevnou telekomunikační sítí</v>
      </c>
      <c r="U302">
        <f>IF(ISNUMBER(SEARCH('1Př1'!$A$33,N302)),MAX($M$2:M301)+1,0)</f>
        <v>300</v>
      </c>
      <c r="V302" s="287" t="s">
        <v>1724</v>
      </c>
      <c r="W302" t="str">
        <f>IFERROR(VLOOKUP(ROWS($W$3:W302),$U$3:$V$718,2,0),"")</f>
        <v>Činnosti související s pevnou telekomunikační sítí</v>
      </c>
      <c r="X302">
        <f>IF(ISNUMBER(SEARCH('1Př1'!$A$34,N302)),MAX($M$2:M301)+1,0)</f>
        <v>300</v>
      </c>
      <c r="Y302" s="287" t="s">
        <v>1724</v>
      </c>
      <c r="Z302" t="str">
        <f>IFERROR(VLOOKUP(ROWS($Z$3:Z302),$X$3:$Y$718,2,0),"")</f>
        <v>Činnosti související s pevnou telekomunikační sítí</v>
      </c>
    </row>
    <row r="303" spans="13:26" ht="25.5">
      <c r="M303" s="286">
        <f>IF(ISNUMBER(SEARCH(ZAKL_DATA!$B$29,N303)),MAX($M$2:M302)+1,0)</f>
        <v>301</v>
      </c>
      <c r="N303" s="791" t="s">
        <v>3609</v>
      </c>
      <c r="O303" s="791" t="s">
        <v>3610</v>
      </c>
      <c r="Q303" s="288" t="str">
        <f>IFERROR(VLOOKUP(ROWS($Q$3:Q303),$M$3:$N$718,2,0),"")</f>
        <v>Praní a čištění textilních a kožešinových výrobků pro jiné oblasti podnikání</v>
      </c>
      <c r="R303">
        <f>IF(ISNUMBER(SEARCH('1Př1'!$A$32,N303)),MAX($M$2:M302)+1,0)</f>
        <v>301</v>
      </c>
      <c r="S303" s="287" t="s">
        <v>1725</v>
      </c>
      <c r="T303" t="str">
        <f>IFERROR(VLOOKUP(ROWS($T$3:T303),$R$3:$S$718,2,0),"")</f>
        <v>Činnosti související s bezdrátovou telekomunikační sítí</v>
      </c>
      <c r="U303">
        <f>IF(ISNUMBER(SEARCH('1Př1'!$A$33,N303)),MAX($M$2:M302)+1,0)</f>
        <v>301</v>
      </c>
      <c r="V303" s="287" t="s">
        <v>1725</v>
      </c>
      <c r="W303" t="str">
        <f>IFERROR(VLOOKUP(ROWS($W$3:W303),$U$3:$V$718,2,0),"")</f>
        <v>Činnosti související s bezdrátovou telekomunikační sítí</v>
      </c>
      <c r="X303">
        <f>IF(ISNUMBER(SEARCH('1Př1'!$A$34,N303)),MAX($M$2:M302)+1,0)</f>
        <v>301</v>
      </c>
      <c r="Y303" s="287" t="s">
        <v>1725</v>
      </c>
      <c r="Z303" t="str">
        <f>IFERROR(VLOOKUP(ROWS($Z$3:Z303),$X$3:$Y$718,2,0),"")</f>
        <v>Činnosti související s bezdrátovou telekomunikační sítí</v>
      </c>
    </row>
    <row r="304" spans="13:26" ht="25.5">
      <c r="M304" s="286">
        <f>IF(ISNUMBER(SEARCH(ZAKL_DATA!$B$29,N304)),MAX($M$2:M303)+1,0)</f>
        <v>302</v>
      </c>
      <c r="N304" s="791" t="s">
        <v>3611</v>
      </c>
      <c r="O304" s="791" t="s">
        <v>3612</v>
      </c>
      <c r="Q304" s="288" t="str">
        <f>IFERROR(VLOOKUP(ROWS($Q$3:Q304),$M$3:$N$718,2,0),"")</f>
        <v>Praní a čištění textilních a kožešinových výrobků pro oblast ubytování a stravování</v>
      </c>
      <c r="R304">
        <f>IF(ISNUMBER(SEARCH('1Př1'!$A$32,N304)),MAX($M$2:M303)+1,0)</f>
        <v>302</v>
      </c>
      <c r="S304" s="287" t="s">
        <v>1726</v>
      </c>
      <c r="T304" t="str">
        <f>IFERROR(VLOOKUP(ROWS($T$3:T304),$R$3:$S$718,2,0),"")</f>
        <v>Činnosti související se satelitní telekomunikační sítí</v>
      </c>
      <c r="U304">
        <f>IF(ISNUMBER(SEARCH('1Př1'!$A$33,N304)),MAX($M$2:M303)+1,0)</f>
        <v>302</v>
      </c>
      <c r="V304" s="287" t="s">
        <v>1726</v>
      </c>
      <c r="W304" t="str">
        <f>IFERROR(VLOOKUP(ROWS($W$3:W304),$U$3:$V$718,2,0),"")</f>
        <v>Činnosti související se satelitní telekomunikační sítí</v>
      </c>
      <c r="X304">
        <f>IF(ISNUMBER(SEARCH('1Př1'!$A$34,N304)),MAX($M$2:M303)+1,0)</f>
        <v>302</v>
      </c>
      <c r="Y304" s="287" t="s">
        <v>1726</v>
      </c>
      <c r="Z304" t="str">
        <f>IFERROR(VLOOKUP(ROWS($Z$3:Z304),$X$3:$Y$718,2,0),"")</f>
        <v>Činnosti související se satelitní telekomunikační sítí</v>
      </c>
    </row>
    <row r="305" spans="13:26" ht="25.5">
      <c r="M305" s="286">
        <f>IF(ISNUMBER(SEARCH(ZAKL_DATA!$B$29,N305)),MAX($M$2:M304)+1,0)</f>
        <v>303</v>
      </c>
      <c r="N305" s="791" t="s">
        <v>3613</v>
      </c>
      <c r="O305" s="791" t="s">
        <v>3614</v>
      </c>
      <c r="Q305" s="288" t="str">
        <f>IFERROR(VLOOKUP(ROWS($Q$3:Q305),$M$3:$N$718,2,0),"")</f>
        <v>Praní a čištění textilních a kožešinových výrobků pro oblast zdravotnictví</v>
      </c>
      <c r="R305">
        <f>IF(ISNUMBER(SEARCH('1Př1'!$A$32,N305)),MAX($M$2:M304)+1,0)</f>
        <v>303</v>
      </c>
      <c r="S305" s="287" t="s">
        <v>1727</v>
      </c>
      <c r="T305" t="str">
        <f>IFERROR(VLOOKUP(ROWS($T$3:T305),$R$3:$S$718,2,0),"")</f>
        <v>Ostatní telekomunikační činnosti</v>
      </c>
      <c r="U305">
        <f>IF(ISNUMBER(SEARCH('1Př1'!$A$33,N305)),MAX($M$2:M304)+1,0)</f>
        <v>303</v>
      </c>
      <c r="V305" s="287" t="s">
        <v>1727</v>
      </c>
      <c r="W305" t="str">
        <f>IFERROR(VLOOKUP(ROWS($W$3:W305),$U$3:$V$718,2,0),"")</f>
        <v>Ostatní telekomunikační činnosti</v>
      </c>
      <c r="X305">
        <f>IF(ISNUMBER(SEARCH('1Př1'!$A$34,N305)),MAX($M$2:M304)+1,0)</f>
        <v>303</v>
      </c>
      <c r="Y305" s="287" t="s">
        <v>1727</v>
      </c>
      <c r="Z305" t="str">
        <f>IFERROR(VLOOKUP(ROWS($Z$3:Z305),$X$3:$Y$718,2,0),"")</f>
        <v>Ostatní telekomunikační činnosti</v>
      </c>
    </row>
    <row r="306" spans="13:26" ht="25.5">
      <c r="M306" s="286">
        <f>IF(ISNUMBER(SEARCH(ZAKL_DATA!$B$29,N306)),MAX($M$2:M305)+1,0)</f>
        <v>304</v>
      </c>
      <c r="N306" s="791" t="s">
        <v>3615</v>
      </c>
      <c r="O306" s="791" t="s">
        <v>3616</v>
      </c>
      <c r="Q306" s="288" t="str">
        <f>IFERROR(VLOOKUP(ROWS($Q$3:Q306),$M$3:$N$718,2,0),"")</f>
        <v>Praní a čištění textilních a kožešinových výrobků pro veřejnost</v>
      </c>
      <c r="R306">
        <f>IF(ISNUMBER(SEARCH('1Př1'!$A$32,N306)),MAX($M$2:M305)+1,0)</f>
        <v>304</v>
      </c>
      <c r="S306" s="287" t="s">
        <v>1728</v>
      </c>
      <c r="T306" t="str">
        <f>IFERROR(VLOOKUP(ROWS($T$3:T306),$R$3:$S$718,2,0),"")</f>
        <v>Činnosti souvis.se zprac.dat a hostingem;činnosti souvis.s web.portály</v>
      </c>
      <c r="U306">
        <f>IF(ISNUMBER(SEARCH('1Př1'!$A$33,N306)),MAX($M$2:M305)+1,0)</f>
        <v>304</v>
      </c>
      <c r="V306" s="287" t="s">
        <v>1728</v>
      </c>
      <c r="W306" t="str">
        <f>IFERROR(VLOOKUP(ROWS($W$3:W306),$U$3:$V$718,2,0),"")</f>
        <v>Činnosti souvis.se zprac.dat a hostingem;činnosti souvis.s web.portály</v>
      </c>
      <c r="X306">
        <f>IF(ISNUMBER(SEARCH('1Př1'!$A$34,N306)),MAX($M$2:M305)+1,0)</f>
        <v>304</v>
      </c>
      <c r="Y306" s="287" t="s">
        <v>1728</v>
      </c>
      <c r="Z306" t="str">
        <f>IFERROR(VLOOKUP(ROWS($Z$3:Z306),$X$3:$Y$718,2,0),"")</f>
        <v>Činnosti souvis.se zprac.dat a hostingem;činnosti souvis.s web.portály</v>
      </c>
    </row>
    <row r="307" spans="13:26">
      <c r="M307" s="286">
        <f>IF(ISNUMBER(SEARCH(ZAKL_DATA!$B$29,N307)),MAX($M$2:M306)+1,0)</f>
        <v>305</v>
      </c>
      <c r="N307" s="791" t="s">
        <v>3617</v>
      </c>
      <c r="O307" s="791" t="s">
        <v>3618</v>
      </c>
      <c r="Q307" s="288" t="str">
        <f>IFERROR(VLOOKUP(ROWS($Q$3:Q307),$M$3:$N$718,2,0),"")</f>
        <v>Pravidelná silniční osobní doprava</v>
      </c>
      <c r="R307">
        <f>IF(ISNUMBER(SEARCH('1Př1'!$A$32,N307)),MAX($M$2:M306)+1,0)</f>
        <v>305</v>
      </c>
      <c r="S307" s="287" t="s">
        <v>1729</v>
      </c>
      <c r="T307" t="str">
        <f>IFERROR(VLOOKUP(ROWS($T$3:T307),$R$3:$S$718,2,0),"")</f>
        <v>Ostatní informační činnosti</v>
      </c>
      <c r="U307">
        <f>IF(ISNUMBER(SEARCH('1Př1'!$A$33,N307)),MAX($M$2:M306)+1,0)</f>
        <v>305</v>
      </c>
      <c r="V307" s="287" t="s">
        <v>1729</v>
      </c>
      <c r="W307" t="str">
        <f>IFERROR(VLOOKUP(ROWS($W$3:W307),$U$3:$V$718,2,0),"")</f>
        <v>Ostatní informační činnosti</v>
      </c>
      <c r="X307">
        <f>IF(ISNUMBER(SEARCH('1Př1'!$A$34,N307)),MAX($M$2:M306)+1,0)</f>
        <v>305</v>
      </c>
      <c r="Y307" s="287" t="s">
        <v>1729</v>
      </c>
      <c r="Z307" t="str">
        <f>IFERROR(VLOOKUP(ROWS($Z$3:Z307),$X$3:$Y$718,2,0),"")</f>
        <v>Ostatní informační činnosti</v>
      </c>
    </row>
    <row r="308" spans="13:26">
      <c r="M308" s="286">
        <f>IF(ISNUMBER(SEARCH(ZAKL_DATA!$B$29,N308)),MAX($M$2:M307)+1,0)</f>
        <v>306</v>
      </c>
      <c r="N308" s="791" t="s">
        <v>1742</v>
      </c>
      <c r="O308" s="791" t="s">
        <v>3619</v>
      </c>
      <c r="Q308" s="288" t="str">
        <f>IFERROR(VLOOKUP(ROWS($Q$3:Q308),$M$3:$N$718,2,0),"")</f>
        <v>Právní činnosti</v>
      </c>
      <c r="R308">
        <f>IF(ISNUMBER(SEARCH('1Př1'!$A$32,N308)),MAX($M$2:M307)+1,0)</f>
        <v>306</v>
      </c>
      <c r="S308" s="287" t="s">
        <v>1730</v>
      </c>
      <c r="T308" t="str">
        <f>IFERROR(VLOOKUP(ROWS($T$3:T308),$R$3:$S$718,2,0),"")</f>
        <v>Peněžní zprostředkování</v>
      </c>
      <c r="U308">
        <f>IF(ISNUMBER(SEARCH('1Př1'!$A$33,N308)),MAX($M$2:M307)+1,0)</f>
        <v>306</v>
      </c>
      <c r="V308" s="287" t="s">
        <v>1730</v>
      </c>
      <c r="W308" t="str">
        <f>IFERROR(VLOOKUP(ROWS($W$3:W308),$U$3:$V$718,2,0),"")</f>
        <v>Peněžní zprostředkování</v>
      </c>
      <c r="X308">
        <f>IF(ISNUMBER(SEARCH('1Př1'!$A$34,N308)),MAX($M$2:M307)+1,0)</f>
        <v>306</v>
      </c>
      <c r="Y308" s="287" t="s">
        <v>1730</v>
      </c>
      <c r="Z308" t="str">
        <f>IFERROR(VLOOKUP(ROWS($Z$3:Z308),$X$3:$Y$718,2,0),"")</f>
        <v>Peněžní zprostředkování</v>
      </c>
    </row>
    <row r="309" spans="13:26">
      <c r="M309" s="286">
        <f>IF(ISNUMBER(SEARCH(ZAKL_DATA!$B$29,N309)),MAX($M$2:M308)+1,0)</f>
        <v>307</v>
      </c>
      <c r="N309" s="791" t="s">
        <v>3620</v>
      </c>
      <c r="O309" s="791" t="s">
        <v>3621</v>
      </c>
      <c r="Q309" s="288" t="str">
        <f>IFERROR(VLOOKUP(ROWS($Q$3:Q309),$M$3:$N$718,2,0),"")</f>
        <v>Preprimární vzdělávání</v>
      </c>
      <c r="R309">
        <f>IF(ISNUMBER(SEARCH('1Př1'!$A$32,N309)),MAX($M$2:M308)+1,0)</f>
        <v>307</v>
      </c>
      <c r="S309" s="287" t="s">
        <v>1731</v>
      </c>
      <c r="T309" t="str">
        <f>IFERROR(VLOOKUP(ROWS($T$3:T309),$R$3:$S$718,2,0),"")</f>
        <v>Činnosti holdingových společností</v>
      </c>
      <c r="U309">
        <f>IF(ISNUMBER(SEARCH('1Př1'!$A$33,N309)),MAX($M$2:M308)+1,0)</f>
        <v>307</v>
      </c>
      <c r="V309" s="287" t="s">
        <v>1731</v>
      </c>
      <c r="W309" t="str">
        <f>IFERROR(VLOOKUP(ROWS($W$3:W309),$U$3:$V$718,2,0),"")</f>
        <v>Činnosti holdingových společností</v>
      </c>
      <c r="X309">
        <f>IF(ISNUMBER(SEARCH('1Př1'!$A$34,N309)),MAX($M$2:M308)+1,0)</f>
        <v>307</v>
      </c>
      <c r="Y309" s="287" t="s">
        <v>1731</v>
      </c>
      <c r="Z309" t="str">
        <f>IFERROR(VLOOKUP(ROWS($Z$3:Z309),$X$3:$Y$718,2,0),"")</f>
        <v>Činnosti holdingových společností</v>
      </c>
    </row>
    <row r="310" spans="13:26">
      <c r="M310" s="286">
        <f>IF(ISNUMBER(SEARCH(ZAKL_DATA!$B$29,N310)),MAX($M$2:M309)+1,0)</f>
        <v>308</v>
      </c>
      <c r="N310" s="791" t="s">
        <v>1783</v>
      </c>
      <c r="O310" s="791" t="s">
        <v>3622</v>
      </c>
      <c r="Q310" s="288" t="str">
        <f>IFERROR(VLOOKUP(ROWS($Q$3:Q310),$M$3:$N$718,2,0),"")</f>
        <v>Primární vzdělávání</v>
      </c>
      <c r="R310">
        <f>IF(ISNUMBER(SEARCH('1Př1'!$A$32,N310)),MAX($M$2:M309)+1,0)</f>
        <v>308</v>
      </c>
      <c r="S310" s="287" t="s">
        <v>1732</v>
      </c>
      <c r="T310" t="str">
        <f>IFERROR(VLOOKUP(ROWS($T$3:T310),$R$3:$S$718,2,0),"")</f>
        <v>Činnosti trustů, fondů a podobných finančních subjektů</v>
      </c>
      <c r="U310">
        <f>IF(ISNUMBER(SEARCH('1Př1'!$A$33,N310)),MAX($M$2:M309)+1,0)</f>
        <v>308</v>
      </c>
      <c r="V310" s="287" t="s">
        <v>1732</v>
      </c>
      <c r="W310" t="str">
        <f>IFERROR(VLOOKUP(ROWS($W$3:W310),$U$3:$V$718,2,0),"")</f>
        <v>Činnosti trustů, fondů a podobných finančních subjektů</v>
      </c>
      <c r="X310">
        <f>IF(ISNUMBER(SEARCH('1Př1'!$A$34,N310)),MAX($M$2:M309)+1,0)</f>
        <v>308</v>
      </c>
      <c r="Y310" s="287" t="s">
        <v>1732</v>
      </c>
      <c r="Z310" t="str">
        <f>IFERROR(VLOOKUP(ROWS($Z$3:Z310),$X$3:$Y$718,2,0),"")</f>
        <v>Činnosti trustů, fondů a podobných finančních subjektů</v>
      </c>
    </row>
    <row r="311" spans="13:26">
      <c r="M311" s="286">
        <f>IF(ISNUMBER(SEARCH(ZAKL_DATA!$B$29,N311)),MAX($M$2:M310)+1,0)</f>
        <v>309</v>
      </c>
      <c r="N311" s="791" t="s">
        <v>3623</v>
      </c>
      <c r="O311" s="791" t="s">
        <v>3624</v>
      </c>
      <c r="Q311" s="288" t="str">
        <f>IFERROR(VLOOKUP(ROWS($Q$3:Q311),$M$3:$N$718,2,0),"")</f>
        <v>Produkce filmů, videozáznamů a televizních pořadů</v>
      </c>
      <c r="R311">
        <f>IF(ISNUMBER(SEARCH('1Př1'!$A$32,N311)),MAX($M$2:M310)+1,0)</f>
        <v>309</v>
      </c>
      <c r="S311" s="287" t="s">
        <v>1733</v>
      </c>
      <c r="T311" t="str">
        <f>IFERROR(VLOOKUP(ROWS($T$3:T311),$R$3:$S$718,2,0),"")</f>
        <v>Ostatní finanční zprostředkování</v>
      </c>
      <c r="U311">
        <f>IF(ISNUMBER(SEARCH('1Př1'!$A$33,N311)),MAX($M$2:M310)+1,0)</f>
        <v>309</v>
      </c>
      <c r="V311" s="287" t="s">
        <v>1733</v>
      </c>
      <c r="W311" t="str">
        <f>IFERROR(VLOOKUP(ROWS($W$3:W311),$U$3:$V$718,2,0),"")</f>
        <v>Ostatní finanční zprostředkování</v>
      </c>
      <c r="X311">
        <f>IF(ISNUMBER(SEARCH('1Př1'!$A$34,N311)),MAX($M$2:M310)+1,0)</f>
        <v>309</v>
      </c>
      <c r="Y311" s="287" t="s">
        <v>1733</v>
      </c>
      <c r="Z311" t="str">
        <f>IFERROR(VLOOKUP(ROWS($Z$3:Z311),$X$3:$Y$718,2,0),"")</f>
        <v>Ostatní finanční zprostředkování</v>
      </c>
    </row>
    <row r="312" spans="13:26" ht="25.5">
      <c r="M312" s="286">
        <f>IF(ISNUMBER(SEARCH(ZAKL_DATA!$B$29,N312)),MAX($M$2:M311)+1,0)</f>
        <v>310</v>
      </c>
      <c r="N312" s="791" t="s">
        <v>3625</v>
      </c>
      <c r="O312" s="791" t="s">
        <v>3626</v>
      </c>
      <c r="Q312" s="288" t="str">
        <f>IFERROR(VLOOKUP(ROWS($Q$3:Q312),$M$3:$N$718,2,0),"")</f>
        <v>Programování a vývoj počítačových her, herního softwaru a herních nástrojů</v>
      </c>
      <c r="R312">
        <f>IF(ISNUMBER(SEARCH('1Př1'!$A$32,N312)),MAX($M$2:M311)+1,0)</f>
        <v>310</v>
      </c>
      <c r="S312" s="287" t="s">
        <v>269</v>
      </c>
      <c r="T312" t="str">
        <f>IFERROR(VLOOKUP(ROWS($T$3:T312),$R$3:$S$718,2,0),"")</f>
        <v>Pojištění</v>
      </c>
      <c r="U312">
        <f>IF(ISNUMBER(SEARCH('1Př1'!$A$33,N312)),MAX($M$2:M311)+1,0)</f>
        <v>310</v>
      </c>
      <c r="V312" s="287" t="s">
        <v>269</v>
      </c>
      <c r="W312" t="str">
        <f>IFERROR(VLOOKUP(ROWS($W$3:W312),$U$3:$V$718,2,0),"")</f>
        <v>Pojištění</v>
      </c>
      <c r="X312">
        <f>IF(ISNUMBER(SEARCH('1Př1'!$A$34,N312)),MAX($M$2:M311)+1,0)</f>
        <v>310</v>
      </c>
      <c r="Y312" s="287" t="s">
        <v>269</v>
      </c>
      <c r="Z312" t="str">
        <f>IFERROR(VLOOKUP(ROWS($Z$3:Z312),$X$3:$Y$718,2,0),"")</f>
        <v>Pojištění</v>
      </c>
    </row>
    <row r="313" spans="13:26">
      <c r="M313" s="286">
        <f>IF(ISNUMBER(SEARCH(ZAKL_DATA!$B$29,N313)),MAX($M$2:M312)+1,0)</f>
        <v>311</v>
      </c>
      <c r="N313" s="791" t="s">
        <v>2142</v>
      </c>
      <c r="O313" s="791" t="s">
        <v>3627</v>
      </c>
      <c r="Q313" s="288" t="str">
        <f>IFERROR(VLOOKUP(ROWS($Q$3:Q313),$M$3:$N$718,2,0),"")</f>
        <v>Promítání filmů</v>
      </c>
      <c r="R313">
        <f>IF(ISNUMBER(SEARCH('1Př1'!$A$32,N313)),MAX($M$2:M312)+1,0)</f>
        <v>311</v>
      </c>
      <c r="S313" s="287" t="s">
        <v>1734</v>
      </c>
      <c r="T313" t="str">
        <f>IFERROR(VLOOKUP(ROWS($T$3:T313),$R$3:$S$718,2,0),"")</f>
        <v>Zajištění</v>
      </c>
      <c r="U313">
        <f>IF(ISNUMBER(SEARCH('1Př1'!$A$33,N313)),MAX($M$2:M312)+1,0)</f>
        <v>311</v>
      </c>
      <c r="V313" s="287" t="s">
        <v>1734</v>
      </c>
      <c r="W313" t="str">
        <f>IFERROR(VLOOKUP(ROWS($W$3:W313),$U$3:$V$718,2,0),"")</f>
        <v>Zajištění</v>
      </c>
      <c r="X313">
        <f>IF(ISNUMBER(SEARCH('1Př1'!$A$34,N313)),MAX($M$2:M312)+1,0)</f>
        <v>311</v>
      </c>
      <c r="Y313" s="287" t="s">
        <v>1734</v>
      </c>
      <c r="Z313" t="str">
        <f>IFERROR(VLOOKUP(ROWS($Z$3:Z313),$X$3:$Y$718,2,0),"")</f>
        <v>Zajištění</v>
      </c>
    </row>
    <row r="314" spans="13:26" ht="25.5">
      <c r="M314" s="286">
        <f>IF(ISNUMBER(SEARCH(ZAKL_DATA!$B$29,N314)),MAX($M$2:M313)+1,0)</f>
        <v>312</v>
      </c>
      <c r="N314" s="791" t="s">
        <v>2160</v>
      </c>
      <c r="O314" s="791" t="s">
        <v>3628</v>
      </c>
      <c r="Q314" s="288" t="str">
        <f>IFERROR(VLOOKUP(ROWS($Q$3:Q314),$M$3:$N$718,2,0),"")</f>
        <v>Pronájem a leasing kancelářských strojů a zařízení, včetně počítačů</v>
      </c>
      <c r="R314">
        <f>IF(ISNUMBER(SEARCH('1Př1'!$A$32,N314)),MAX($M$2:M313)+1,0)</f>
        <v>312</v>
      </c>
      <c r="S314" s="287" t="s">
        <v>1735</v>
      </c>
      <c r="T314" t="str">
        <f>IFERROR(VLOOKUP(ROWS($T$3:T314),$R$3:$S$718,2,0),"")</f>
        <v>Penzijní financování</v>
      </c>
      <c r="U314">
        <f>IF(ISNUMBER(SEARCH('1Př1'!$A$33,N314)),MAX($M$2:M313)+1,0)</f>
        <v>312</v>
      </c>
      <c r="V314" s="287" t="s">
        <v>1735</v>
      </c>
      <c r="W314" t="str">
        <f>IFERROR(VLOOKUP(ROWS($W$3:W314),$U$3:$V$718,2,0),"")</f>
        <v>Penzijní financování</v>
      </c>
      <c r="X314">
        <f>IF(ISNUMBER(SEARCH('1Př1'!$A$34,N314)),MAX($M$2:M313)+1,0)</f>
        <v>312</v>
      </c>
      <c r="Y314" s="287" t="s">
        <v>1735</v>
      </c>
      <c r="Z314" t="str">
        <f>IFERROR(VLOOKUP(ROWS($Z$3:Z314),$X$3:$Y$718,2,0),"")</f>
        <v>Penzijní financování</v>
      </c>
    </row>
    <row r="315" spans="13:26" ht="25.5">
      <c r="M315" s="286">
        <f>IF(ISNUMBER(SEARCH(ZAKL_DATA!$B$29,N315)),MAX($M$2:M314)+1,0)</f>
        <v>313</v>
      </c>
      <c r="N315" s="791" t="s">
        <v>2162</v>
      </c>
      <c r="O315" s="791" t="s">
        <v>3629</v>
      </c>
      <c r="Q315" s="288" t="str">
        <f>IFERROR(VLOOKUP(ROWS($Q$3:Q315),$M$3:$N$718,2,0),"")</f>
        <v>Pronájem a leasing leteckých dopravních prostředků</v>
      </c>
      <c r="R315">
        <f>IF(ISNUMBER(SEARCH('1Př1'!$A$32,N315)),MAX($M$2:M314)+1,0)</f>
        <v>313</v>
      </c>
      <c r="S315" s="287" t="s">
        <v>1736</v>
      </c>
      <c r="T315" t="str">
        <f>IFERROR(VLOOKUP(ROWS($T$3:T315),$R$3:$S$718,2,0),"")</f>
        <v>Pomocné činnosti související s fin.zprostřed.,kromě pojišť.a penzij.fin.</v>
      </c>
      <c r="U315">
        <f>IF(ISNUMBER(SEARCH('1Př1'!$A$33,N315)),MAX($M$2:M314)+1,0)</f>
        <v>313</v>
      </c>
      <c r="V315" s="287" t="s">
        <v>1736</v>
      </c>
      <c r="W315" t="str">
        <f>IFERROR(VLOOKUP(ROWS($W$3:W315),$U$3:$V$718,2,0),"")</f>
        <v>Pomocné činnosti související s fin.zprostřed.,kromě pojišť.a penzij.fin.</v>
      </c>
      <c r="X315">
        <f>IF(ISNUMBER(SEARCH('1Př1'!$A$34,N315)),MAX($M$2:M314)+1,0)</f>
        <v>313</v>
      </c>
      <c r="Y315" s="287" t="s">
        <v>1736</v>
      </c>
      <c r="Z315" t="str">
        <f>IFERROR(VLOOKUP(ROWS($Z$3:Z315),$X$3:$Y$718,2,0),"")</f>
        <v>Pomocné činnosti související s fin.zprostřed.,kromě pojišť.a penzij.fin.</v>
      </c>
    </row>
    <row r="316" spans="13:26">
      <c r="M316" s="286">
        <f>IF(ISNUMBER(SEARCH(ZAKL_DATA!$B$29,N316)),MAX($M$2:M315)+1,0)</f>
        <v>314</v>
      </c>
      <c r="N316" s="791" t="s">
        <v>2156</v>
      </c>
      <c r="O316" s="791" t="s">
        <v>3630</v>
      </c>
      <c r="Q316" s="288" t="str">
        <f>IFERROR(VLOOKUP(ROWS($Q$3:Q316),$M$3:$N$718,2,0),"")</f>
        <v>Pronájem a leasing nákladních automobilů</v>
      </c>
      <c r="R316">
        <f>IF(ISNUMBER(SEARCH('1Př1'!$A$32,N316)),MAX($M$2:M315)+1,0)</f>
        <v>314</v>
      </c>
      <c r="S316" s="287" t="s">
        <v>1737</v>
      </c>
      <c r="T316" t="str">
        <f>IFERROR(VLOOKUP(ROWS($T$3:T316),$R$3:$S$718,2,0),"")</f>
        <v>Pomocné činnosti související s pojišťovnictvím a penzijním financováním</v>
      </c>
      <c r="U316">
        <f>IF(ISNUMBER(SEARCH('1Př1'!$A$33,N316)),MAX($M$2:M315)+1,0)</f>
        <v>314</v>
      </c>
      <c r="V316" s="287" t="s">
        <v>1737</v>
      </c>
      <c r="W316" t="str">
        <f>IFERROR(VLOOKUP(ROWS($W$3:W316),$U$3:$V$718,2,0),"")</f>
        <v>Pomocné činnosti související s pojišťovnictvím a penzijním financováním</v>
      </c>
      <c r="X316">
        <f>IF(ISNUMBER(SEARCH('1Př1'!$A$34,N316)),MAX($M$2:M315)+1,0)</f>
        <v>314</v>
      </c>
      <c r="Y316" s="287" t="s">
        <v>1737</v>
      </c>
      <c r="Z316" t="str">
        <f>IFERROR(VLOOKUP(ROWS($Z$3:Z316),$X$3:$Y$718,2,0),"")</f>
        <v>Pomocné činnosti související s pojišťovnictvím a penzijním financováním</v>
      </c>
    </row>
    <row r="317" spans="13:26" ht="25.5">
      <c r="M317" s="286">
        <f>IF(ISNUMBER(SEARCH(ZAKL_DATA!$B$29,N317)),MAX($M$2:M316)+1,0)</f>
        <v>315</v>
      </c>
      <c r="N317" s="791" t="s">
        <v>3631</v>
      </c>
      <c r="O317" s="791" t="s">
        <v>3632</v>
      </c>
      <c r="Q317" s="288" t="str">
        <f>IFERROR(VLOOKUP(ROWS($Q$3:Q317),$M$3:$N$718,2,0),"")</f>
        <v>Pronájem a leasing osobních automobilů a lehkých motorových vozidel</v>
      </c>
      <c r="R317">
        <f>IF(ISNUMBER(SEARCH('1Př1'!$A$32,N317)),MAX($M$2:M316)+1,0)</f>
        <v>315</v>
      </c>
      <c r="S317" s="287" t="s">
        <v>1738</v>
      </c>
      <c r="T317" t="str">
        <f>IFERROR(VLOOKUP(ROWS($T$3:T317),$R$3:$S$718,2,0),"")</f>
        <v>Správa fondů</v>
      </c>
      <c r="U317">
        <f>IF(ISNUMBER(SEARCH('1Př1'!$A$33,N317)),MAX($M$2:M316)+1,0)</f>
        <v>315</v>
      </c>
      <c r="V317" s="287" t="s">
        <v>1738</v>
      </c>
      <c r="W317" t="str">
        <f>IFERROR(VLOOKUP(ROWS($W$3:W317),$U$3:$V$718,2,0),"")</f>
        <v>Správa fondů</v>
      </c>
      <c r="X317">
        <f>IF(ISNUMBER(SEARCH('1Př1'!$A$34,N317)),MAX($M$2:M316)+1,0)</f>
        <v>315</v>
      </c>
      <c r="Y317" s="287" t="s">
        <v>1738</v>
      </c>
      <c r="Z317" t="str">
        <f>IFERROR(VLOOKUP(ROWS($Z$3:Z317),$X$3:$Y$718,2,0),"")</f>
        <v>Správa fondů</v>
      </c>
    </row>
    <row r="318" spans="13:26" ht="25.5">
      <c r="M318" s="286">
        <f>IF(ISNUMBER(SEARCH(ZAKL_DATA!$B$29,N318)),MAX($M$2:M317)+1,0)</f>
        <v>316</v>
      </c>
      <c r="N318" s="791" t="s">
        <v>3633</v>
      </c>
      <c r="O318" s="791" t="s">
        <v>3634</v>
      </c>
      <c r="Q318" s="288" t="str">
        <f>IFERROR(VLOOKUP(ROWS($Q$3:Q318),$M$3:$N$718,2,0),"")</f>
        <v>Pronájem a leasing ostatních strojů, zařízení a hmotných statků j. n.</v>
      </c>
      <c r="R318">
        <f>IF(ISNUMBER(SEARCH('1Př1'!$A$32,N318)),MAX($M$2:M317)+1,0)</f>
        <v>316</v>
      </c>
      <c r="S318" s="287" t="s">
        <v>1739</v>
      </c>
      <c r="T318" t="str">
        <f>IFERROR(VLOOKUP(ROWS($T$3:T318),$R$3:$S$718,2,0),"")</f>
        <v>Nákup a následný prodej vlastních nemovitostí</v>
      </c>
      <c r="U318">
        <f>IF(ISNUMBER(SEARCH('1Př1'!$A$33,N318)),MAX($M$2:M317)+1,0)</f>
        <v>316</v>
      </c>
      <c r="V318" s="287" t="s">
        <v>1739</v>
      </c>
      <c r="W318" t="str">
        <f>IFERROR(VLOOKUP(ROWS($W$3:W318),$U$3:$V$718,2,0),"")</f>
        <v>Nákup a následný prodej vlastních nemovitostí</v>
      </c>
      <c r="X318">
        <f>IF(ISNUMBER(SEARCH('1Př1'!$A$34,N318)),MAX($M$2:M317)+1,0)</f>
        <v>316</v>
      </c>
      <c r="Y318" s="287" t="s">
        <v>1739</v>
      </c>
      <c r="Z318" t="str">
        <f>IFERROR(VLOOKUP(ROWS($Z$3:Z318),$X$3:$Y$718,2,0),"")</f>
        <v>Nákup a následný prodej vlastních nemovitostí</v>
      </c>
    </row>
    <row r="319" spans="13:26" ht="25.5">
      <c r="M319" s="286">
        <f>IF(ISNUMBER(SEARCH(ZAKL_DATA!$B$29,N319)),MAX($M$2:M318)+1,0)</f>
        <v>317</v>
      </c>
      <c r="N319" s="791" t="s">
        <v>3635</v>
      </c>
      <c r="O319" s="791" t="s">
        <v>3636</v>
      </c>
      <c r="Q319" s="288" t="str">
        <f>IFERROR(VLOOKUP(ROWS($Q$3:Q319),$M$3:$N$718,2,0),"")</f>
        <v>Pronájem a leasing ostatních výrobků pro osobní potřebu a převážně pro domácnost</v>
      </c>
      <c r="R319">
        <f>IF(ISNUMBER(SEARCH('1Př1'!$A$32,N319)),MAX($M$2:M318)+1,0)</f>
        <v>317</v>
      </c>
      <c r="S319" s="287" t="s">
        <v>1740</v>
      </c>
      <c r="T319" t="str">
        <f>IFERROR(VLOOKUP(ROWS($T$3:T319),$R$3:$S$718,2,0),"")</f>
        <v>Pronájem a správa vlastních nebo pronajatých nemovitostí</v>
      </c>
      <c r="U319">
        <f>IF(ISNUMBER(SEARCH('1Př1'!$A$33,N319)),MAX($M$2:M318)+1,0)</f>
        <v>317</v>
      </c>
      <c r="V319" s="287" t="s">
        <v>1740</v>
      </c>
      <c r="W319" t="str">
        <f>IFERROR(VLOOKUP(ROWS($W$3:W319),$U$3:$V$718,2,0),"")</f>
        <v>Pronájem a správa vlastních nebo pronajatých nemovitostí</v>
      </c>
      <c r="X319">
        <f>IF(ISNUMBER(SEARCH('1Př1'!$A$34,N319)),MAX($M$2:M318)+1,0)</f>
        <v>317</v>
      </c>
      <c r="Y319" s="287" t="s">
        <v>1740</v>
      </c>
      <c r="Z319" t="str">
        <f>IFERROR(VLOOKUP(ROWS($Z$3:Z319),$X$3:$Y$718,2,0),"")</f>
        <v>Pronájem a správa vlastních nebo pronajatých nemovitostí</v>
      </c>
    </row>
    <row r="320" spans="13:26" ht="25.5">
      <c r="M320" s="286">
        <f>IF(ISNUMBER(SEARCH(ZAKL_DATA!$B$29,N320)),MAX($M$2:M319)+1,0)</f>
        <v>318</v>
      </c>
      <c r="N320" s="791" t="s">
        <v>2157</v>
      </c>
      <c r="O320" s="791" t="s">
        <v>3637</v>
      </c>
      <c r="Q320" s="288" t="str">
        <f>IFERROR(VLOOKUP(ROWS($Q$3:Q320),$M$3:$N$718,2,0),"")</f>
        <v>Pronájem a leasing rekreačních a sportovních potřeb</v>
      </c>
      <c r="R320">
        <f>IF(ISNUMBER(SEARCH('1Př1'!$A$32,N320)),MAX($M$2:M319)+1,0)</f>
        <v>318</v>
      </c>
      <c r="S320" s="287" t="s">
        <v>1741</v>
      </c>
      <c r="T320" t="str">
        <f>IFERROR(VLOOKUP(ROWS($T$3:T320),$R$3:$S$718,2,0),"")</f>
        <v>Činnosti v oblasti nemovitostí na základě smlouvy nebo dohody</v>
      </c>
      <c r="U320">
        <f>IF(ISNUMBER(SEARCH('1Př1'!$A$33,N320)),MAX($M$2:M319)+1,0)</f>
        <v>318</v>
      </c>
      <c r="V320" s="287" t="s">
        <v>1741</v>
      </c>
      <c r="W320" t="str">
        <f>IFERROR(VLOOKUP(ROWS($W$3:W320),$U$3:$V$718,2,0),"")</f>
        <v>Činnosti v oblasti nemovitostí na základě smlouvy nebo dohody</v>
      </c>
      <c r="X320">
        <f>IF(ISNUMBER(SEARCH('1Př1'!$A$34,N320)),MAX($M$2:M319)+1,0)</f>
        <v>318</v>
      </c>
      <c r="Y320" s="287" t="s">
        <v>1741</v>
      </c>
      <c r="Z320" t="str">
        <f>IFERROR(VLOOKUP(ROWS($Z$3:Z320),$X$3:$Y$718,2,0),"")</f>
        <v>Činnosti v oblasti nemovitostí na základě smlouvy nebo dohody</v>
      </c>
    </row>
    <row r="321" spans="13:26">
      <c r="M321" s="286">
        <f>IF(ISNUMBER(SEARCH(ZAKL_DATA!$B$29,N321)),MAX($M$2:M320)+1,0)</f>
        <v>319</v>
      </c>
      <c r="N321" s="791" t="s">
        <v>2159</v>
      </c>
      <c r="O321" s="791" t="s">
        <v>3638</v>
      </c>
      <c r="Q321" s="288" t="str">
        <f>IFERROR(VLOOKUP(ROWS($Q$3:Q321),$M$3:$N$718,2,0),"")</f>
        <v>Pronájem a leasing stavebních strojů a zařízení</v>
      </c>
      <c r="R321">
        <f>IF(ISNUMBER(SEARCH('1Př1'!$A$32,N321)),MAX($M$2:M320)+1,0)</f>
        <v>319</v>
      </c>
      <c r="S321" s="287" t="s">
        <v>1742</v>
      </c>
      <c r="T321" t="str">
        <f>IFERROR(VLOOKUP(ROWS($T$3:T321),$R$3:$S$718,2,0),"")</f>
        <v>Právní činnosti</v>
      </c>
      <c r="U321">
        <f>IF(ISNUMBER(SEARCH('1Př1'!$A$33,N321)),MAX($M$2:M320)+1,0)</f>
        <v>319</v>
      </c>
      <c r="V321" s="287" t="s">
        <v>1742</v>
      </c>
      <c r="W321" t="str">
        <f>IFERROR(VLOOKUP(ROWS($W$3:W321),$U$3:$V$718,2,0),"")</f>
        <v>Právní činnosti</v>
      </c>
      <c r="X321">
        <f>IF(ISNUMBER(SEARCH('1Př1'!$A$34,N321)),MAX($M$2:M320)+1,0)</f>
        <v>319</v>
      </c>
      <c r="Y321" s="287" t="s">
        <v>1742</v>
      </c>
      <c r="Z321" t="str">
        <f>IFERROR(VLOOKUP(ROWS($Z$3:Z321),$X$3:$Y$718,2,0),"")</f>
        <v>Právní činnosti</v>
      </c>
    </row>
    <row r="322" spans="13:26">
      <c r="M322" s="286">
        <f>IF(ISNUMBER(SEARCH(ZAKL_DATA!$B$29,N322)),MAX($M$2:M321)+1,0)</f>
        <v>320</v>
      </c>
      <c r="N322" s="791" t="s">
        <v>2161</v>
      </c>
      <c r="O322" s="791" t="s">
        <v>3639</v>
      </c>
      <c r="Q322" s="288" t="str">
        <f>IFERROR(VLOOKUP(ROWS($Q$3:Q322),$M$3:$N$718,2,0),"")</f>
        <v>Pronájem a leasing vodních dopravních prostředků</v>
      </c>
      <c r="R322">
        <f>IF(ISNUMBER(SEARCH('1Př1'!$A$32,N322)),MAX($M$2:M321)+1,0)</f>
        <v>320</v>
      </c>
      <c r="S322" s="287" t="s">
        <v>1743</v>
      </c>
      <c r="T322" t="str">
        <f>IFERROR(VLOOKUP(ROWS($T$3:T322),$R$3:$S$718,2,0),"")</f>
        <v>Účetnické a auditorské činnosti; daňové poradenství</v>
      </c>
      <c r="U322">
        <f>IF(ISNUMBER(SEARCH('1Př1'!$A$33,N322)),MAX($M$2:M321)+1,0)</f>
        <v>320</v>
      </c>
      <c r="V322" s="287" t="s">
        <v>1743</v>
      </c>
      <c r="W322" t="str">
        <f>IFERROR(VLOOKUP(ROWS($W$3:W322),$U$3:$V$718,2,0),"")</f>
        <v>Účetnické a auditorské činnosti; daňové poradenství</v>
      </c>
      <c r="X322">
        <f>IF(ISNUMBER(SEARCH('1Př1'!$A$34,N322)),MAX($M$2:M321)+1,0)</f>
        <v>320</v>
      </c>
      <c r="Y322" s="287" t="s">
        <v>1743</v>
      </c>
      <c r="Z322" t="str">
        <f>IFERROR(VLOOKUP(ROWS($Z$3:Z322),$X$3:$Y$718,2,0),"")</f>
        <v>Účetnické a auditorské činnosti; daňové poradenství</v>
      </c>
    </row>
    <row r="323" spans="13:26">
      <c r="M323" s="286">
        <f>IF(ISNUMBER(SEARCH(ZAKL_DATA!$B$29,N323)),MAX($M$2:M322)+1,0)</f>
        <v>321</v>
      </c>
      <c r="N323" s="791" t="s">
        <v>2158</v>
      </c>
      <c r="O323" s="791" t="s">
        <v>3640</v>
      </c>
      <c r="Q323" s="288" t="str">
        <f>IFERROR(VLOOKUP(ROWS($Q$3:Q323),$M$3:$N$718,2,0),"")</f>
        <v>Pronájem a leasing zemědělských strojů a zařízení</v>
      </c>
      <c r="R323">
        <f>IF(ISNUMBER(SEARCH('1Př1'!$A$32,N323)),MAX($M$2:M322)+1,0)</f>
        <v>321</v>
      </c>
      <c r="S323" s="287" t="s">
        <v>1744</v>
      </c>
      <c r="T323" t="str">
        <f>IFERROR(VLOOKUP(ROWS($T$3:T323),$R$3:$S$718,2,0),"")</f>
        <v>Činnosti vedení podniků</v>
      </c>
      <c r="U323">
        <f>IF(ISNUMBER(SEARCH('1Př1'!$A$33,N323)),MAX($M$2:M322)+1,0)</f>
        <v>321</v>
      </c>
      <c r="V323" s="287" t="s">
        <v>1744</v>
      </c>
      <c r="W323" t="str">
        <f>IFERROR(VLOOKUP(ROWS($W$3:W323),$U$3:$V$718,2,0),"")</f>
        <v>Činnosti vedení podniků</v>
      </c>
      <c r="X323">
        <f>IF(ISNUMBER(SEARCH('1Př1'!$A$34,N323)),MAX($M$2:M322)+1,0)</f>
        <v>321</v>
      </c>
      <c r="Y323" s="287" t="s">
        <v>1744</v>
      </c>
      <c r="Z323" t="str">
        <f>IFERROR(VLOOKUP(ROWS($Z$3:Z323),$X$3:$Y$718,2,0),"")</f>
        <v>Činnosti vedení podniků</v>
      </c>
    </row>
    <row r="324" spans="13:26" ht="25.5">
      <c r="M324" s="286">
        <f>IF(ISNUMBER(SEARCH(ZAKL_DATA!$B$29,N324)),MAX($M$2:M323)+1,0)</f>
        <v>322</v>
      </c>
      <c r="N324" s="791" t="s">
        <v>1740</v>
      </c>
      <c r="O324" s="791" t="s">
        <v>3641</v>
      </c>
      <c r="Q324" s="288" t="str">
        <f>IFERROR(VLOOKUP(ROWS($Q$3:Q324),$M$3:$N$718,2,0),"")</f>
        <v>Pronájem a správa vlastních nebo pronajatých nemovitostí</v>
      </c>
      <c r="R324">
        <f>IF(ISNUMBER(SEARCH('1Př1'!$A$32,N324)),MAX($M$2:M323)+1,0)</f>
        <v>322</v>
      </c>
      <c r="S324" s="287" t="s">
        <v>1745</v>
      </c>
      <c r="T324" t="str">
        <f>IFERROR(VLOOKUP(ROWS($T$3:T324),$R$3:$S$718,2,0),"")</f>
        <v>Poradenství v oblasti řízení</v>
      </c>
      <c r="U324">
        <f>IF(ISNUMBER(SEARCH('1Př1'!$A$33,N324)),MAX($M$2:M323)+1,0)</f>
        <v>322</v>
      </c>
      <c r="V324" s="287" t="s">
        <v>1745</v>
      </c>
      <c r="W324" t="str">
        <f>IFERROR(VLOOKUP(ROWS($W$3:W324),$U$3:$V$718,2,0),"")</f>
        <v>Poradenství v oblasti řízení</v>
      </c>
      <c r="X324">
        <f>IF(ISNUMBER(SEARCH('1Př1'!$A$34,N324)),MAX($M$2:M323)+1,0)</f>
        <v>322</v>
      </c>
      <c r="Y324" s="287" t="s">
        <v>1745</v>
      </c>
      <c r="Z324" t="str">
        <f>IFERROR(VLOOKUP(ROWS($Z$3:Z324),$X$3:$Y$718,2,0),"")</f>
        <v>Poradenství v oblasti řízení</v>
      </c>
    </row>
    <row r="325" spans="13:26" ht="25.5">
      <c r="M325" s="286">
        <f>IF(ISNUMBER(SEARCH(ZAKL_DATA!$B$29,N325)),MAX($M$2:M324)+1,0)</f>
        <v>323</v>
      </c>
      <c r="N325" s="791" t="s">
        <v>3642</v>
      </c>
      <c r="O325" s="791" t="s">
        <v>3643</v>
      </c>
      <c r="Q325" s="288" t="str">
        <f>IFERROR(VLOOKUP(ROWS($Q$3:Q325),$M$3:$N$718,2,0),"")</f>
        <v>Provoz pískoven a štěrkopískoven a těžba jílů a kaolinu</v>
      </c>
      <c r="R325">
        <f>IF(ISNUMBER(SEARCH('1Př1'!$A$32,N325)),MAX($M$2:M324)+1,0)</f>
        <v>323</v>
      </c>
      <c r="S325" s="287" t="s">
        <v>1746</v>
      </c>
      <c r="T325" t="str">
        <f>IFERROR(VLOOKUP(ROWS($T$3:T325),$R$3:$S$718,2,0),"")</f>
        <v>Architektonické a inženýrské činnosti a související technické poradenství</v>
      </c>
      <c r="U325">
        <f>IF(ISNUMBER(SEARCH('1Př1'!$A$33,N325)),MAX($M$2:M324)+1,0)</f>
        <v>323</v>
      </c>
      <c r="V325" s="287" t="s">
        <v>1746</v>
      </c>
      <c r="W325" t="str">
        <f>IFERROR(VLOOKUP(ROWS($W$3:W325),$U$3:$V$718,2,0),"")</f>
        <v>Architektonické a inženýrské činnosti a související technické poradenství</v>
      </c>
      <c r="X325">
        <f>IF(ISNUMBER(SEARCH('1Př1'!$A$34,N325)),MAX($M$2:M324)+1,0)</f>
        <v>323</v>
      </c>
      <c r="Y325" s="287" t="s">
        <v>1746</v>
      </c>
      <c r="Z325" t="str">
        <f>IFERROR(VLOOKUP(ROWS($Z$3:Z325),$X$3:$Y$718,2,0),"")</f>
        <v>Architektonické a inženýrské činnosti a související technické poradenství</v>
      </c>
    </row>
    <row r="326" spans="13:26">
      <c r="M326" s="286">
        <f>IF(ISNUMBER(SEARCH(ZAKL_DATA!$B$29,N326)),MAX($M$2:M325)+1,0)</f>
        <v>324</v>
      </c>
      <c r="N326" s="791" t="s">
        <v>3644</v>
      </c>
      <c r="O326" s="791" t="s">
        <v>3645</v>
      </c>
      <c r="Q326" s="288" t="str">
        <f>IFERROR(VLOOKUP(ROWS($Q$3:Q326),$M$3:$N$718,2,0),"")</f>
        <v>Provozování historických a kulturních památek</v>
      </c>
      <c r="R326">
        <f>IF(ISNUMBER(SEARCH('1Př1'!$A$32,N326)),MAX($M$2:M325)+1,0)</f>
        <v>324</v>
      </c>
      <c r="S326" s="287" t="s">
        <v>1747</v>
      </c>
      <c r="T326" t="str">
        <f>IFERROR(VLOOKUP(ROWS($T$3:T326),$R$3:$S$718,2,0),"")</f>
        <v>Technické zkoušky a analýzy</v>
      </c>
      <c r="U326">
        <f>IF(ISNUMBER(SEARCH('1Př1'!$A$33,N326)),MAX($M$2:M325)+1,0)</f>
        <v>324</v>
      </c>
      <c r="V326" s="287" t="s">
        <v>1747</v>
      </c>
      <c r="W326" t="str">
        <f>IFERROR(VLOOKUP(ROWS($W$3:W326),$U$3:$V$718,2,0),"")</f>
        <v>Technické zkoušky a analýzy</v>
      </c>
      <c r="X326">
        <f>IF(ISNUMBER(SEARCH('1Př1'!$A$34,N326)),MAX($M$2:M325)+1,0)</f>
        <v>324</v>
      </c>
      <c r="Y326" s="287" t="s">
        <v>1747</v>
      </c>
      <c r="Z326" t="str">
        <f>IFERROR(VLOOKUP(ROWS($Z$3:Z326),$X$3:$Y$718,2,0),"")</f>
        <v>Technické zkoušky a analýzy</v>
      </c>
    </row>
    <row r="327" spans="13:26">
      <c r="M327" s="286">
        <f>IF(ISNUMBER(SEARCH(ZAKL_DATA!$B$29,N327)),MAX($M$2:M326)+1,0)</f>
        <v>325</v>
      </c>
      <c r="N327" s="791" t="s">
        <v>3646</v>
      </c>
      <c r="O327" s="791" t="s">
        <v>3647</v>
      </c>
      <c r="Q327" s="288" t="str">
        <f>IFERROR(VLOOKUP(ROWS($Q$3:Q327),$M$3:$N$718,2,0),"")</f>
        <v>Provozování kulturních zařízení a areálů</v>
      </c>
      <c r="R327">
        <f>IF(ISNUMBER(SEARCH('1Př1'!$A$32,N327)),MAX($M$2:M326)+1,0)</f>
        <v>325</v>
      </c>
      <c r="S327" s="287" t="s">
        <v>1748</v>
      </c>
      <c r="T327" t="str">
        <f>IFERROR(VLOOKUP(ROWS($T$3:T327),$R$3:$S$718,2,0),"")</f>
        <v>Výzkum a vývoj v oblasti přírodních a technických věd</v>
      </c>
      <c r="U327">
        <f>IF(ISNUMBER(SEARCH('1Př1'!$A$33,N327)),MAX($M$2:M326)+1,0)</f>
        <v>325</v>
      </c>
      <c r="V327" s="287" t="s">
        <v>1748</v>
      </c>
      <c r="W327" t="str">
        <f>IFERROR(VLOOKUP(ROWS($W$3:W327),$U$3:$V$718,2,0),"")</f>
        <v>Výzkum a vývoj v oblasti přírodních a technických věd</v>
      </c>
      <c r="X327">
        <f>IF(ISNUMBER(SEARCH('1Př1'!$A$34,N327)),MAX($M$2:M326)+1,0)</f>
        <v>325</v>
      </c>
      <c r="Y327" s="287" t="s">
        <v>1748</v>
      </c>
      <c r="Z327" t="str">
        <f>IFERROR(VLOOKUP(ROWS($Z$3:Z327),$X$3:$Y$718,2,0),"")</f>
        <v>Výzkum a vývoj v oblasti přírodních a technických věd</v>
      </c>
    </row>
    <row r="328" spans="13:26">
      <c r="M328" s="286">
        <f>IF(ISNUMBER(SEARCH(ZAKL_DATA!$B$29,N328)),MAX($M$2:M327)+1,0)</f>
        <v>326</v>
      </c>
      <c r="N328" s="791" t="s">
        <v>2183</v>
      </c>
      <c r="O328" s="791" t="s">
        <v>3648</v>
      </c>
      <c r="Q328" s="288" t="str">
        <f>IFERROR(VLOOKUP(ROWS($Q$3:Q328),$M$3:$N$718,2,0),"")</f>
        <v>Provozování sportovních zařízení</v>
      </c>
      <c r="R328">
        <f>IF(ISNUMBER(SEARCH('1Př1'!$A$32,N328)),MAX($M$2:M327)+1,0)</f>
        <v>326</v>
      </c>
      <c r="S328" s="287" t="s">
        <v>1749</v>
      </c>
      <c r="T328" t="str">
        <f>IFERROR(VLOOKUP(ROWS($T$3:T328),$R$3:$S$718,2,0),"")</f>
        <v>Těžba a úprava uranových a thoriových rud</v>
      </c>
      <c r="U328">
        <f>IF(ISNUMBER(SEARCH('1Př1'!$A$33,N328)),MAX($M$2:M327)+1,0)</f>
        <v>326</v>
      </c>
      <c r="V328" s="287" t="s">
        <v>1749</v>
      </c>
      <c r="W328" t="str">
        <f>IFERROR(VLOOKUP(ROWS($W$3:W328),$U$3:$V$718,2,0),"")</f>
        <v>Těžba a úprava uranových a thoriových rud</v>
      </c>
      <c r="X328">
        <f>IF(ISNUMBER(SEARCH('1Př1'!$A$34,N328)),MAX($M$2:M327)+1,0)</f>
        <v>326</v>
      </c>
      <c r="Y328" s="287" t="s">
        <v>1749</v>
      </c>
      <c r="Z328" t="str">
        <f>IFERROR(VLOOKUP(ROWS($Z$3:Z328),$X$3:$Y$718,2,0),"")</f>
        <v>Těžba a úprava uranových a thoriových rud</v>
      </c>
    </row>
    <row r="329" spans="13:26">
      <c r="M329" s="286">
        <f>IF(ISNUMBER(SEARCH(ZAKL_DATA!$B$29,N329)),MAX($M$2:M328)+1,0)</f>
        <v>327</v>
      </c>
      <c r="N329" s="791" t="s">
        <v>1753</v>
      </c>
      <c r="O329" s="791" t="s">
        <v>3649</v>
      </c>
      <c r="Q329" s="288" t="str">
        <f>IFERROR(VLOOKUP(ROWS($Q$3:Q329),$M$3:$N$718,2,0),"")</f>
        <v>Průzkum trhu a veřejného mínění</v>
      </c>
      <c r="R329">
        <f>IF(ISNUMBER(SEARCH('1Př1'!$A$32,N329)),MAX($M$2:M328)+1,0)</f>
        <v>327</v>
      </c>
      <c r="S329" s="287" t="s">
        <v>1750</v>
      </c>
      <c r="T329" t="str">
        <f>IFERROR(VLOOKUP(ROWS($T$3:T329),$R$3:$S$718,2,0),"")</f>
        <v>Výzkum a vývoj v oblasti společenských a humanitních věd</v>
      </c>
      <c r="U329">
        <f>IF(ISNUMBER(SEARCH('1Př1'!$A$33,N329)),MAX($M$2:M328)+1,0)</f>
        <v>327</v>
      </c>
      <c r="V329" s="287" t="s">
        <v>1750</v>
      </c>
      <c r="W329" t="str">
        <f>IFERROR(VLOOKUP(ROWS($W$3:W329),$U$3:$V$718,2,0),"")</f>
        <v>Výzkum a vývoj v oblasti společenských a humanitních věd</v>
      </c>
      <c r="X329">
        <f>IF(ISNUMBER(SEARCH('1Př1'!$A$34,N329)),MAX($M$2:M328)+1,0)</f>
        <v>327</v>
      </c>
      <c r="Y329" s="287" t="s">
        <v>1750</v>
      </c>
      <c r="Z329" t="str">
        <f>IFERROR(VLOOKUP(ROWS($Z$3:Z329),$X$3:$Y$718,2,0),"")</f>
        <v>Výzkum a vývoj v oblasti společenských a humanitních věd</v>
      </c>
    </row>
    <row r="330" spans="13:26">
      <c r="M330" s="286">
        <f>IF(ISNUMBER(SEARCH(ZAKL_DATA!$B$29,N330)),MAX($M$2:M329)+1,0)</f>
        <v>328</v>
      </c>
      <c r="N330" s="791" t="s">
        <v>2025</v>
      </c>
      <c r="O330" s="791" t="s">
        <v>3650</v>
      </c>
      <c r="Q330" s="288" t="str">
        <f>IFERROR(VLOOKUP(ROWS($Q$3:Q330),$M$3:$N$718,2,0),"")</f>
        <v>Průzkumné vrtné práce</v>
      </c>
      <c r="R330">
        <f>IF(ISNUMBER(SEARCH('1Př1'!$A$32,N330)),MAX($M$2:M329)+1,0)</f>
        <v>328</v>
      </c>
      <c r="S330" s="287" t="s">
        <v>1751</v>
      </c>
      <c r="T330" t="str">
        <f>IFERROR(VLOOKUP(ROWS($T$3:T330),$R$3:$S$718,2,0),"")</f>
        <v>Těžba a úprava ostatních neželezných rud</v>
      </c>
      <c r="U330">
        <f>IF(ISNUMBER(SEARCH('1Př1'!$A$33,N330)),MAX($M$2:M329)+1,0)</f>
        <v>328</v>
      </c>
      <c r="V330" s="287" t="s">
        <v>1751</v>
      </c>
      <c r="W330" t="str">
        <f>IFERROR(VLOOKUP(ROWS($W$3:W330),$U$3:$V$718,2,0),"")</f>
        <v>Těžba a úprava ostatních neželezných rud</v>
      </c>
      <c r="X330">
        <f>IF(ISNUMBER(SEARCH('1Př1'!$A$34,N330)),MAX($M$2:M329)+1,0)</f>
        <v>328</v>
      </c>
      <c r="Y330" s="287" t="s">
        <v>1751</v>
      </c>
      <c r="Z330" t="str">
        <f>IFERROR(VLOOKUP(ROWS($Z$3:Z330),$X$3:$Y$718,2,0),"")</f>
        <v>Těžba a úprava ostatních neželezných rud</v>
      </c>
    </row>
    <row r="331" spans="13:26">
      <c r="M331" s="286">
        <f>IF(ISNUMBER(SEARCH(ZAKL_DATA!$B$29,N331)),MAX($M$2:M330)+1,0)</f>
        <v>329</v>
      </c>
      <c r="N331" s="791" t="s">
        <v>1756</v>
      </c>
      <c r="O331" s="791" t="s">
        <v>3651</v>
      </c>
      <c r="Q331" s="288" t="str">
        <f>IFERROR(VLOOKUP(ROWS($Q$3:Q331),$M$3:$N$718,2,0),"")</f>
        <v>Překladatelské a tlumočnické činnosti</v>
      </c>
      <c r="R331">
        <f>IF(ISNUMBER(SEARCH('1Př1'!$A$32,N331)),MAX($M$2:M330)+1,0)</f>
        <v>329</v>
      </c>
      <c r="S331" s="287" t="s">
        <v>1752</v>
      </c>
      <c r="T331" t="str">
        <f>IFERROR(VLOOKUP(ROWS($T$3:T331),$R$3:$S$718,2,0),"")</f>
        <v>Reklamní činnosti</v>
      </c>
      <c r="U331">
        <f>IF(ISNUMBER(SEARCH('1Př1'!$A$33,N331)),MAX($M$2:M330)+1,0)</f>
        <v>329</v>
      </c>
      <c r="V331" s="287" t="s">
        <v>1752</v>
      </c>
      <c r="W331" t="str">
        <f>IFERROR(VLOOKUP(ROWS($W$3:W331),$U$3:$V$718,2,0),"")</f>
        <v>Reklamní činnosti</v>
      </c>
      <c r="X331">
        <f>IF(ISNUMBER(SEARCH('1Př1'!$A$34,N331)),MAX($M$2:M330)+1,0)</f>
        <v>329</v>
      </c>
      <c r="Y331" s="287" t="s">
        <v>1752</v>
      </c>
      <c r="Z331" t="str">
        <f>IFERROR(VLOOKUP(ROWS($Z$3:Z331),$X$3:$Y$718,2,0),"")</f>
        <v>Reklamní činnosti</v>
      </c>
    </row>
    <row r="332" spans="13:26">
      <c r="M332" s="286">
        <f>IF(ISNUMBER(SEARCH(ZAKL_DATA!$B$29,N332)),MAX($M$2:M331)+1,0)</f>
        <v>330</v>
      </c>
      <c r="N332" s="791" t="s">
        <v>2003</v>
      </c>
      <c r="O332" s="791" t="s">
        <v>3652</v>
      </c>
      <c r="Q332" s="288" t="str">
        <f>IFERROR(VLOOKUP(ROWS($Q$3:Q332),$M$3:$N$718,2,0),"")</f>
        <v>Přenos elektřiny</v>
      </c>
      <c r="R332">
        <f>IF(ISNUMBER(SEARCH('1Př1'!$A$32,N332)),MAX($M$2:M331)+1,0)</f>
        <v>330</v>
      </c>
      <c r="S332" s="287" t="s">
        <v>1753</v>
      </c>
      <c r="T332" t="str">
        <f>IFERROR(VLOOKUP(ROWS($T$3:T332),$R$3:$S$718,2,0),"")</f>
        <v>Průzkum trhu a veřejného mínění</v>
      </c>
      <c r="U332">
        <f>IF(ISNUMBER(SEARCH('1Př1'!$A$33,N332)),MAX($M$2:M331)+1,0)</f>
        <v>330</v>
      </c>
      <c r="V332" s="287" t="s">
        <v>1753</v>
      </c>
      <c r="W332" t="str">
        <f>IFERROR(VLOOKUP(ROWS($W$3:W332),$U$3:$V$718,2,0),"")</f>
        <v>Průzkum trhu a veřejného mínění</v>
      </c>
      <c r="X332">
        <f>IF(ISNUMBER(SEARCH('1Př1'!$A$34,N332)),MAX($M$2:M331)+1,0)</f>
        <v>330</v>
      </c>
      <c r="Y332" s="287" t="s">
        <v>1753</v>
      </c>
      <c r="Z332" t="str">
        <f>IFERROR(VLOOKUP(ROWS($Z$3:Z332),$X$3:$Y$718,2,0),"")</f>
        <v>Průzkum trhu a veřejného mínění</v>
      </c>
    </row>
    <row r="333" spans="13:26" ht="25.5">
      <c r="M333" s="286">
        <f>IF(ISNUMBER(SEARCH(ZAKL_DATA!$B$29,N333)),MAX($M$2:M332)+1,0)</f>
        <v>331</v>
      </c>
      <c r="N333" s="791" t="s">
        <v>3653</v>
      </c>
      <c r="O333" s="791" t="s">
        <v>3654</v>
      </c>
      <c r="Q333" s="288" t="str">
        <f>IFERROR(VLOOKUP(ROWS($Q$3:Q333),$M$3:$N$718,2,0),"")</f>
        <v>Přeprava pacientů vozidly zdravotnické dopravní služby</v>
      </c>
      <c r="R333">
        <f>IF(ISNUMBER(SEARCH('1Př1'!$A$32,N333)),MAX($M$2:M332)+1,0)</f>
        <v>331</v>
      </c>
      <c r="S333" s="287" t="s">
        <v>1754</v>
      </c>
      <c r="T333" t="str">
        <f>IFERROR(VLOOKUP(ROWS($T$3:T333),$R$3:$S$718,2,0),"")</f>
        <v>Specializované návrhářské činnosti</v>
      </c>
      <c r="U333">
        <f>IF(ISNUMBER(SEARCH('1Př1'!$A$33,N333)),MAX($M$2:M332)+1,0)</f>
        <v>331</v>
      </c>
      <c r="V333" s="287" t="s">
        <v>1754</v>
      </c>
      <c r="W333" t="str">
        <f>IFERROR(VLOOKUP(ROWS($W$3:W333),$U$3:$V$718,2,0),"")</f>
        <v>Specializované návrhářské činnosti</v>
      </c>
      <c r="X333">
        <f>IF(ISNUMBER(SEARCH('1Př1'!$A$34,N333)),MAX($M$2:M332)+1,0)</f>
        <v>331</v>
      </c>
      <c r="Y333" s="287" t="s">
        <v>1754</v>
      </c>
      <c r="Z333" t="str">
        <f>IFERROR(VLOOKUP(ROWS($Z$3:Z333),$X$3:$Y$718,2,0),"")</f>
        <v>Specializované návrhářské činnosti</v>
      </c>
    </row>
    <row r="334" spans="13:26">
      <c r="M334" s="286">
        <f>IF(ISNUMBER(SEARCH(ZAKL_DATA!$B$29,N334)),MAX($M$2:M333)+1,0)</f>
        <v>332</v>
      </c>
      <c r="N334" s="791" t="s">
        <v>2024</v>
      </c>
      <c r="O334" s="791" t="s">
        <v>3655</v>
      </c>
      <c r="Q334" s="288" t="str">
        <f>IFERROR(VLOOKUP(ROWS($Q$3:Q334),$M$3:$N$718,2,0),"")</f>
        <v>Příprava staveniště</v>
      </c>
      <c r="R334">
        <f>IF(ISNUMBER(SEARCH('1Př1'!$A$32,N334)),MAX($M$2:M333)+1,0)</f>
        <v>332</v>
      </c>
      <c r="S334" s="287" t="s">
        <v>1755</v>
      </c>
      <c r="T334" t="str">
        <f>IFERROR(VLOOKUP(ROWS($T$3:T334),$R$3:$S$718,2,0),"")</f>
        <v>Fotografické činnosti</v>
      </c>
      <c r="U334">
        <f>IF(ISNUMBER(SEARCH('1Př1'!$A$33,N334)),MAX($M$2:M333)+1,0)</f>
        <v>332</v>
      </c>
      <c r="V334" s="287" t="s">
        <v>1755</v>
      </c>
      <c r="W334" t="str">
        <f>IFERROR(VLOOKUP(ROWS($W$3:W334),$U$3:$V$718,2,0),"")</f>
        <v>Fotografické činnosti</v>
      </c>
      <c r="X334">
        <f>IF(ISNUMBER(SEARCH('1Př1'!$A$34,N334)),MAX($M$2:M333)+1,0)</f>
        <v>332</v>
      </c>
      <c r="Y334" s="287" t="s">
        <v>1755</v>
      </c>
      <c r="Z334" t="str">
        <f>IFERROR(VLOOKUP(ROWS($Z$3:Z334),$X$3:$Y$718,2,0),"")</f>
        <v>Fotografické činnosti</v>
      </c>
    </row>
    <row r="335" spans="13:26">
      <c r="M335" s="286">
        <f>IF(ISNUMBER(SEARCH(ZAKL_DATA!$B$29,N335)),MAX($M$2:M334)+1,0)</f>
        <v>333</v>
      </c>
      <c r="N335" s="791" t="s">
        <v>1876</v>
      </c>
      <c r="O335" s="791" t="s">
        <v>3656</v>
      </c>
      <c r="Q335" s="288" t="str">
        <f>IFERROR(VLOOKUP(ROWS($Q$3:Q335),$M$3:$N$718,2,0),"")</f>
        <v>Příprava tisku a digitálních dat</v>
      </c>
      <c r="R335">
        <f>IF(ISNUMBER(SEARCH('1Př1'!$A$32,N335)),MAX($M$2:M334)+1,0)</f>
        <v>333</v>
      </c>
      <c r="S335" s="287" t="s">
        <v>1756</v>
      </c>
      <c r="T335" t="str">
        <f>IFERROR(VLOOKUP(ROWS($T$3:T335),$R$3:$S$718,2,0),"")</f>
        <v>Překladatelské a tlumočnické činnosti</v>
      </c>
      <c r="U335">
        <f>IF(ISNUMBER(SEARCH('1Př1'!$A$33,N335)),MAX($M$2:M334)+1,0)</f>
        <v>333</v>
      </c>
      <c r="V335" s="287" t="s">
        <v>1756</v>
      </c>
      <c r="W335" t="str">
        <f>IFERROR(VLOOKUP(ROWS($W$3:W335),$U$3:$V$718,2,0),"")</f>
        <v>Překladatelské a tlumočnické činnosti</v>
      </c>
      <c r="X335">
        <f>IF(ISNUMBER(SEARCH('1Př1'!$A$34,N335)),MAX($M$2:M334)+1,0)</f>
        <v>333</v>
      </c>
      <c r="Y335" s="287" t="s">
        <v>1756</v>
      </c>
      <c r="Z335" t="str">
        <f>IFERROR(VLOOKUP(ROWS($Z$3:Z335),$X$3:$Y$718,2,0),"")</f>
        <v>Překladatelské a tlumočnické činnosti</v>
      </c>
    </row>
    <row r="336" spans="13:26">
      <c r="M336" s="286">
        <f>IF(ISNUMBER(SEARCH(ZAKL_DATA!$B$29,N336)),MAX($M$2:M335)+1,0)</f>
        <v>334</v>
      </c>
      <c r="N336" s="791" t="s">
        <v>1989</v>
      </c>
      <c r="O336" s="791" t="s">
        <v>3657</v>
      </c>
      <c r="Q336" s="288" t="str">
        <f>IFERROR(VLOOKUP(ROWS($Q$3:Q336),$M$3:$N$718,2,0),"")</f>
        <v>Ražení mincí</v>
      </c>
      <c r="R336">
        <f>IF(ISNUMBER(SEARCH('1Př1'!$A$32,N336)),MAX($M$2:M335)+1,0)</f>
        <v>334</v>
      </c>
      <c r="S336" s="287" t="s">
        <v>1757</v>
      </c>
      <c r="T336" t="str">
        <f>IFERROR(VLOOKUP(ROWS($T$3:T336),$R$3:$S$718,2,0),"")</f>
        <v>Ostatní profesní, vědecké a technické činnosti j. n.</v>
      </c>
      <c r="U336">
        <f>IF(ISNUMBER(SEARCH('1Př1'!$A$33,N336)),MAX($M$2:M335)+1,0)</f>
        <v>334</v>
      </c>
      <c r="V336" s="287" t="s">
        <v>1757</v>
      </c>
      <c r="W336" t="str">
        <f>IFERROR(VLOOKUP(ROWS($W$3:W336),$U$3:$V$718,2,0),"")</f>
        <v>Ostatní profesní, vědecké a technické činnosti j. n.</v>
      </c>
      <c r="X336">
        <f>IF(ISNUMBER(SEARCH('1Př1'!$A$34,N336)),MAX($M$2:M335)+1,0)</f>
        <v>334</v>
      </c>
      <c r="Y336" s="287" t="s">
        <v>1757</v>
      </c>
      <c r="Z336" t="str">
        <f>IFERROR(VLOOKUP(ROWS($Z$3:Z336),$X$3:$Y$718,2,0),"")</f>
        <v>Ostatní profesní, vědecké a technické činnosti j. n.</v>
      </c>
    </row>
    <row r="337" spans="13:26">
      <c r="M337" s="286">
        <f>IF(ISNUMBER(SEARCH(ZAKL_DATA!$B$29,N337)),MAX($M$2:M336)+1,0)</f>
        <v>335</v>
      </c>
      <c r="N337" s="791" t="s">
        <v>2172</v>
      </c>
      <c r="O337" s="791" t="s">
        <v>3658</v>
      </c>
      <c r="Q337" s="288" t="str">
        <f>IFERROR(VLOOKUP(ROWS($Q$3:Q337),$M$3:$N$718,2,0),"")</f>
        <v>Regulace a podpora podnikatelského prostředí</v>
      </c>
      <c r="R337">
        <f>IF(ISNUMBER(SEARCH('1Př1'!$A$32,N337)),MAX($M$2:M336)+1,0)</f>
        <v>335</v>
      </c>
      <c r="S337" s="287" t="s">
        <v>1758</v>
      </c>
      <c r="T337" t="str">
        <f>IFERROR(VLOOKUP(ROWS($T$3:T337),$R$3:$S$718,2,0),"")</f>
        <v>Pronájem a leasing motorových vozidel, kromě motocyklů</v>
      </c>
      <c r="U337">
        <f>IF(ISNUMBER(SEARCH('1Př1'!$A$33,N337)),MAX($M$2:M336)+1,0)</f>
        <v>335</v>
      </c>
      <c r="V337" s="287" t="s">
        <v>1758</v>
      </c>
      <c r="W337" t="str">
        <f>IFERROR(VLOOKUP(ROWS($W$3:W337),$U$3:$V$718,2,0),"")</f>
        <v>Pronájem a leasing motorových vozidel, kromě motocyklů</v>
      </c>
      <c r="X337">
        <f>IF(ISNUMBER(SEARCH('1Př1'!$A$34,N337)),MAX($M$2:M336)+1,0)</f>
        <v>335</v>
      </c>
      <c r="Y337" s="287" t="s">
        <v>1758</v>
      </c>
      <c r="Z337" t="str">
        <f>IFERROR(VLOOKUP(ROWS($Z$3:Z337),$X$3:$Y$718,2,0),"")</f>
        <v>Pronájem a leasing motorových vozidel, kromě motocyklů</v>
      </c>
    </row>
    <row r="338" spans="13:26">
      <c r="M338" s="286">
        <f>IF(ISNUMBER(SEARCH(ZAKL_DATA!$B$29,N338)),MAX($M$2:M337)+1,0)</f>
        <v>336</v>
      </c>
      <c r="N338" s="791" t="s">
        <v>3659</v>
      </c>
      <c r="O338" s="791" t="s">
        <v>3660</v>
      </c>
      <c r="Q338" s="288" t="str">
        <f>IFERROR(VLOOKUP(ROWS($Q$3:Q338),$M$3:$N$718,2,0),"")</f>
        <v>Regulace činností souvisejících s kulturou</v>
      </c>
      <c r="R338">
        <f>IF(ISNUMBER(SEARCH('1Př1'!$A$32,N338)),MAX($M$2:M337)+1,0)</f>
        <v>336</v>
      </c>
      <c r="S338" s="287" t="s">
        <v>1759</v>
      </c>
      <c r="T338" t="str">
        <f>IFERROR(VLOOKUP(ROWS($T$3:T338),$R$3:$S$718,2,0),"")</f>
        <v>Pronájem a leasing výrobků pro osobní potřebu a převážně pro domácnost</v>
      </c>
      <c r="U338">
        <f>IF(ISNUMBER(SEARCH('1Př1'!$A$33,N338)),MAX($M$2:M337)+1,0)</f>
        <v>336</v>
      </c>
      <c r="V338" s="287" t="s">
        <v>1759</v>
      </c>
      <c r="W338" t="str">
        <f>IFERROR(VLOOKUP(ROWS($W$3:W338),$U$3:$V$718,2,0),"")</f>
        <v>Pronájem a leasing výrobků pro osobní potřebu a převážně pro domácnost</v>
      </c>
      <c r="X338">
        <f>IF(ISNUMBER(SEARCH('1Př1'!$A$34,N338)),MAX($M$2:M337)+1,0)</f>
        <v>336</v>
      </c>
      <c r="Y338" s="287" t="s">
        <v>1759</v>
      </c>
      <c r="Z338" t="str">
        <f>IFERROR(VLOOKUP(ROWS($Z$3:Z338),$X$3:$Y$718,2,0),"")</f>
        <v>Pronájem a leasing výrobků pro osobní potřebu a převážně pro domácnost</v>
      </c>
    </row>
    <row r="339" spans="13:26" ht="25.5">
      <c r="M339" s="286">
        <f>IF(ISNUMBER(SEARCH(ZAKL_DATA!$B$29,N339)),MAX($M$2:M338)+1,0)</f>
        <v>337</v>
      </c>
      <c r="N339" s="791" t="s">
        <v>3661</v>
      </c>
      <c r="O339" s="791" t="s">
        <v>3662</v>
      </c>
      <c r="Q339" s="288" t="str">
        <f>IFERROR(VLOOKUP(ROWS($Q$3:Q339),$M$3:$N$718,2,0),"")</f>
        <v>Regulace činností souvisejících s poskytováním ostatních služeb pro společnost j. n.</v>
      </c>
      <c r="R339">
        <f>IF(ISNUMBER(SEARCH('1Př1'!$A$32,N339)),MAX($M$2:M338)+1,0)</f>
        <v>337</v>
      </c>
      <c r="S339" s="287" t="s">
        <v>1760</v>
      </c>
      <c r="T339" t="str">
        <f>IFERROR(VLOOKUP(ROWS($T$3:T339),$R$3:$S$718,2,0),"")</f>
        <v>Pronájem a leasing ostatních strojů, zařízení a výrobků</v>
      </c>
      <c r="U339">
        <f>IF(ISNUMBER(SEARCH('1Př1'!$A$33,N339)),MAX($M$2:M338)+1,0)</f>
        <v>337</v>
      </c>
      <c r="V339" s="287" t="s">
        <v>1760</v>
      </c>
      <c r="W339" t="str">
        <f>IFERROR(VLOOKUP(ROWS($W$3:W339),$U$3:$V$718,2,0),"")</f>
        <v>Pronájem a leasing ostatních strojů, zařízení a výrobků</v>
      </c>
      <c r="X339">
        <f>IF(ISNUMBER(SEARCH('1Př1'!$A$34,N339)),MAX($M$2:M338)+1,0)</f>
        <v>337</v>
      </c>
      <c r="Y339" s="287" t="s">
        <v>1760</v>
      </c>
      <c r="Z339" t="str">
        <f>IFERROR(VLOOKUP(ROWS($Z$3:Z339),$X$3:$Y$718,2,0),"")</f>
        <v>Pronájem a leasing ostatních strojů, zařízení a výrobků</v>
      </c>
    </row>
    <row r="340" spans="13:26" ht="38.25">
      <c r="M340" s="286">
        <f>IF(ISNUMBER(SEARCH(ZAKL_DATA!$B$29,N340)),MAX($M$2:M339)+1,0)</f>
        <v>338</v>
      </c>
      <c r="N340" s="791" t="s">
        <v>3663</v>
      </c>
      <c r="O340" s="791" t="s">
        <v>3664</v>
      </c>
      <c r="Q340" s="288" t="str">
        <f>IFERROR(VLOOKUP(ROWS($Q$3:Q340),$M$3:$N$718,2,0),"")</f>
        <v>Regulace činností souvisejících s poskytováním sociální péče, kromě povinného sociálního zabezpečení</v>
      </c>
      <c r="R340">
        <f>IF(ISNUMBER(SEARCH('1Př1'!$A$32,N340)),MAX($M$2:M339)+1,0)</f>
        <v>338</v>
      </c>
      <c r="S340" s="287" t="s">
        <v>1761</v>
      </c>
      <c r="T340" t="str">
        <f>IFERROR(VLOOKUP(ROWS($T$3:T340),$R$3:$S$718,2,0),"")</f>
        <v>Leasing duševního vlast.a podobných produktů,kromě děl chrán.autor.právem</v>
      </c>
      <c r="U340">
        <f>IF(ISNUMBER(SEARCH('1Př1'!$A$33,N340)),MAX($M$2:M339)+1,0)</f>
        <v>338</v>
      </c>
      <c r="V340" s="287" t="s">
        <v>1761</v>
      </c>
      <c r="W340" t="str">
        <f>IFERROR(VLOOKUP(ROWS($W$3:W340),$U$3:$V$718,2,0),"")</f>
        <v>Leasing duševního vlast.a podobných produktů,kromě děl chrán.autor.právem</v>
      </c>
      <c r="X340">
        <f>IF(ISNUMBER(SEARCH('1Př1'!$A$34,N340)),MAX($M$2:M339)+1,0)</f>
        <v>338</v>
      </c>
      <c r="Y340" s="287" t="s">
        <v>1761</v>
      </c>
      <c r="Z340" t="str">
        <f>IFERROR(VLOOKUP(ROWS($Z$3:Z340),$X$3:$Y$718,2,0),"")</f>
        <v>Leasing duševního vlast.a podobných produktů,kromě děl chrán.autor.právem</v>
      </c>
    </row>
    <row r="341" spans="13:26" ht="30">
      <c r="M341" s="286">
        <f>IF(ISNUMBER(SEARCH(ZAKL_DATA!$B$29,N341)),MAX($M$2:M340)+1,0)</f>
        <v>339</v>
      </c>
      <c r="N341" s="792" t="s">
        <v>3665</v>
      </c>
      <c r="O341" s="791" t="s">
        <v>3666</v>
      </c>
      <c r="Q341" s="288" t="str">
        <f>IFERROR(VLOOKUP(ROWS($Q$3:Q341),$M$3:$N$718,2,0),"")</f>
        <v>Regulace činností souvisejících s poskytováním zdravotní péče</v>
      </c>
      <c r="R341">
        <f>IF(ISNUMBER(SEARCH('1Př1'!$A$32,N341)),MAX($M$2:M340)+1,0)</f>
        <v>339</v>
      </c>
      <c r="S341" s="287" t="s">
        <v>1762</v>
      </c>
      <c r="T341" t="str">
        <f>IFERROR(VLOOKUP(ROWS($T$3:T341),$R$3:$S$718,2,0),"")</f>
        <v>Činnosti agentur zprostředkujících zaměstnání</v>
      </c>
      <c r="U341">
        <f>IF(ISNUMBER(SEARCH('1Př1'!$A$33,N341)),MAX($M$2:M340)+1,0)</f>
        <v>339</v>
      </c>
      <c r="V341" s="287" t="s">
        <v>1762</v>
      </c>
      <c r="W341" t="str">
        <f>IFERROR(VLOOKUP(ROWS($W$3:W341),$U$3:$V$718,2,0),"")</f>
        <v>Činnosti agentur zprostředkujících zaměstnání</v>
      </c>
      <c r="X341">
        <f>IF(ISNUMBER(SEARCH('1Př1'!$A$34,N341)),MAX($M$2:M340)+1,0)</f>
        <v>339</v>
      </c>
      <c r="Y341" s="287" t="s">
        <v>1762</v>
      </c>
      <c r="Z341" t="str">
        <f>IFERROR(VLOOKUP(ROWS($Z$3:Z341),$X$3:$Y$718,2,0),"")</f>
        <v>Činnosti agentur zprostředkujících zaměstnání</v>
      </c>
    </row>
    <row r="342" spans="13:26">
      <c r="M342" s="286">
        <f>IF(ISNUMBER(SEARCH(ZAKL_DATA!$B$29,N342)),MAX($M$2:M341)+1,0)</f>
        <v>340</v>
      </c>
      <c r="N342" s="791" t="s">
        <v>3667</v>
      </c>
      <c r="O342" s="791" t="s">
        <v>3668</v>
      </c>
      <c r="Q342" s="288" t="str">
        <f>IFERROR(VLOOKUP(ROWS($Q$3:Q342),$M$3:$N$718,2,0),"")</f>
        <v>Regulace činností souvisejících se sportem</v>
      </c>
      <c r="R342">
        <f>IF(ISNUMBER(SEARCH('1Př1'!$A$32,N342)),MAX($M$2:M341)+1,0)</f>
        <v>340</v>
      </c>
      <c r="S342" s="287" t="s">
        <v>1763</v>
      </c>
      <c r="T342" t="str">
        <f>IFERROR(VLOOKUP(ROWS($T$3:T342),$R$3:$S$718,2,0),"")</f>
        <v>Činnosti agentur zprostředkujících práci na přechodnou dobu</v>
      </c>
      <c r="U342">
        <f>IF(ISNUMBER(SEARCH('1Př1'!$A$33,N342)),MAX($M$2:M341)+1,0)</f>
        <v>340</v>
      </c>
      <c r="V342" s="287" t="s">
        <v>1763</v>
      </c>
      <c r="W342" t="str">
        <f>IFERROR(VLOOKUP(ROWS($W$3:W342),$U$3:$V$718,2,0),"")</f>
        <v>Činnosti agentur zprostředkujících práci na přechodnou dobu</v>
      </c>
      <c r="X342">
        <f>IF(ISNUMBER(SEARCH('1Př1'!$A$34,N342)),MAX($M$2:M341)+1,0)</f>
        <v>340</v>
      </c>
      <c r="Y342" s="287" t="s">
        <v>1763</v>
      </c>
      <c r="Z342" t="str">
        <f>IFERROR(VLOOKUP(ROWS($Z$3:Z342),$X$3:$Y$718,2,0),"")</f>
        <v>Činnosti agentur zprostředkujících práci na přechodnou dobu</v>
      </c>
    </row>
    <row r="343" spans="13:26">
      <c r="M343" s="286">
        <f>IF(ISNUMBER(SEARCH(ZAKL_DATA!$B$29,N343)),MAX($M$2:M342)+1,0)</f>
        <v>341</v>
      </c>
      <c r="N343" s="791" t="s">
        <v>3669</v>
      </c>
      <c r="O343" s="791" t="s">
        <v>3670</v>
      </c>
      <c r="Q343" s="288" t="str">
        <f>IFERROR(VLOOKUP(ROWS($Q$3:Q343),$M$3:$N$718,2,0),"")</f>
        <v>Regulace činností souvisejících se vzděláváním</v>
      </c>
      <c r="R343">
        <f>IF(ISNUMBER(SEARCH('1Př1'!$A$32,N343)),MAX($M$2:M342)+1,0)</f>
        <v>341</v>
      </c>
      <c r="S343" s="287" t="s">
        <v>1764</v>
      </c>
      <c r="T343" t="str">
        <f>IFERROR(VLOOKUP(ROWS($T$3:T343),$R$3:$S$718,2,0),"")</f>
        <v>Ostatní poskytování lidských zdrojů</v>
      </c>
      <c r="U343">
        <f>IF(ISNUMBER(SEARCH('1Př1'!$A$33,N343)),MAX($M$2:M342)+1,0)</f>
        <v>341</v>
      </c>
      <c r="V343" s="287" t="s">
        <v>1764</v>
      </c>
      <c r="W343" t="str">
        <f>IFERROR(VLOOKUP(ROWS($W$3:W343),$U$3:$V$718,2,0),"")</f>
        <v>Ostatní poskytování lidských zdrojů</v>
      </c>
      <c r="X343">
        <f>IF(ISNUMBER(SEARCH('1Př1'!$A$34,N343)),MAX($M$2:M342)+1,0)</f>
        <v>341</v>
      </c>
      <c r="Y343" s="287" t="s">
        <v>1764</v>
      </c>
      <c r="Z343" t="str">
        <f>IFERROR(VLOOKUP(ROWS($Z$3:Z343),$X$3:$Y$718,2,0),"")</f>
        <v>Ostatní poskytování lidských zdrojů</v>
      </c>
    </row>
    <row r="344" spans="13:26">
      <c r="M344" s="286">
        <f>IF(ISNUMBER(SEARCH(ZAKL_DATA!$B$29,N344)),MAX($M$2:M343)+1,0)</f>
        <v>342</v>
      </c>
      <c r="N344" s="791" t="s">
        <v>1712</v>
      </c>
      <c r="O344" s="791" t="s">
        <v>3671</v>
      </c>
      <c r="Q344" s="288" t="str">
        <f>IFERROR(VLOOKUP(ROWS($Q$3:Q344),$M$3:$N$718,2,0),"")</f>
        <v>Rekreační a ostatní krátkodobé ubytování</v>
      </c>
      <c r="R344">
        <f>IF(ISNUMBER(SEARCH('1Př1'!$A$32,N344)),MAX($M$2:M343)+1,0)</f>
        <v>342</v>
      </c>
      <c r="S344" s="287" t="s">
        <v>1765</v>
      </c>
      <c r="T344" t="str">
        <f>IFERROR(VLOOKUP(ROWS($T$3:T344),$R$3:$S$718,2,0),"")</f>
        <v>Činnosti cestovních agentur a cestovních kanceláří</v>
      </c>
      <c r="U344">
        <f>IF(ISNUMBER(SEARCH('1Př1'!$A$33,N344)),MAX($M$2:M343)+1,0)</f>
        <v>342</v>
      </c>
      <c r="V344" s="287" t="s">
        <v>1765</v>
      </c>
      <c r="W344" t="str">
        <f>IFERROR(VLOOKUP(ROWS($W$3:W344),$U$3:$V$718,2,0),"")</f>
        <v>Činnosti cestovních agentur a cestovních kanceláří</v>
      </c>
      <c r="X344">
        <f>IF(ISNUMBER(SEARCH('1Př1'!$A$34,N344)),MAX($M$2:M343)+1,0)</f>
        <v>342</v>
      </c>
      <c r="Y344" s="287" t="s">
        <v>1765</v>
      </c>
      <c r="Z344" t="str">
        <f>IFERROR(VLOOKUP(ROWS($Z$3:Z344),$X$3:$Y$718,2,0),"")</f>
        <v>Činnosti cestovních agentur a cestovních kanceláří</v>
      </c>
    </row>
    <row r="345" spans="13:26">
      <c r="M345" s="286">
        <f>IF(ISNUMBER(SEARCH(ZAKL_DATA!$B$29,N345)),MAX($M$2:M344)+1,0)</f>
        <v>343</v>
      </c>
      <c r="N345" s="791" t="s">
        <v>1722</v>
      </c>
      <c r="O345" s="791" t="s">
        <v>3672</v>
      </c>
      <c r="Q345" s="288" t="str">
        <f>IFERROR(VLOOKUP(ROWS($Q$3:Q345),$M$3:$N$718,2,0),"")</f>
        <v>Rozhlasové vysílání</v>
      </c>
      <c r="R345">
        <f>IF(ISNUMBER(SEARCH('1Př1'!$A$32,N345)),MAX($M$2:M344)+1,0)</f>
        <v>343</v>
      </c>
      <c r="S345" s="287" t="s">
        <v>1766</v>
      </c>
      <c r="T345" t="str">
        <f>IFERROR(VLOOKUP(ROWS($T$3:T345),$R$3:$S$718,2,0),"")</f>
        <v>Ostatní rezervační a související činnosti</v>
      </c>
      <c r="U345">
        <f>IF(ISNUMBER(SEARCH('1Př1'!$A$33,N345)),MAX($M$2:M344)+1,0)</f>
        <v>343</v>
      </c>
      <c r="V345" s="287" t="s">
        <v>1766</v>
      </c>
      <c r="W345" t="str">
        <f>IFERROR(VLOOKUP(ROWS($W$3:W345),$U$3:$V$718,2,0),"")</f>
        <v>Ostatní rezervační a související činnosti</v>
      </c>
      <c r="X345">
        <f>IF(ISNUMBER(SEARCH('1Př1'!$A$34,N345)),MAX($M$2:M344)+1,0)</f>
        <v>343</v>
      </c>
      <c r="Y345" s="287" t="s">
        <v>1766</v>
      </c>
      <c r="Z345" t="str">
        <f>IFERROR(VLOOKUP(ROWS($Z$3:Z345),$X$3:$Y$718,2,0),"")</f>
        <v>Ostatní rezervační a související činnosti</v>
      </c>
    </row>
    <row r="346" spans="13:26">
      <c r="M346" s="286">
        <f>IF(ISNUMBER(SEARCH(ZAKL_DATA!$B$29,N346)),MAX($M$2:M345)+1,0)</f>
        <v>344</v>
      </c>
      <c r="N346" s="791" t="s">
        <v>1373</v>
      </c>
      <c r="O346" s="791" t="s">
        <v>3673</v>
      </c>
      <c r="Q346" s="288" t="str">
        <f>IFERROR(VLOOKUP(ROWS($Q$3:Q346),$M$3:$N$718,2,0),"")</f>
        <v>Rozmnožování nahraných nosičů</v>
      </c>
      <c r="R346">
        <f>IF(ISNUMBER(SEARCH('1Př1'!$A$32,N346)),MAX($M$2:M345)+1,0)</f>
        <v>344</v>
      </c>
      <c r="S346" s="287" t="s">
        <v>1767</v>
      </c>
      <c r="T346" t="str">
        <f>IFERROR(VLOOKUP(ROWS($T$3:T346),$R$3:$S$718,2,0),"")</f>
        <v>Činnosti soukromých bezpečnostních agentur</v>
      </c>
      <c r="U346">
        <f>IF(ISNUMBER(SEARCH('1Př1'!$A$33,N346)),MAX($M$2:M345)+1,0)</f>
        <v>344</v>
      </c>
      <c r="V346" s="287" t="s">
        <v>1767</v>
      </c>
      <c r="W346" t="str">
        <f>IFERROR(VLOOKUP(ROWS($W$3:W346),$U$3:$V$718,2,0),"")</f>
        <v>Činnosti soukromých bezpečnostních agentur</v>
      </c>
      <c r="X346">
        <f>IF(ISNUMBER(SEARCH('1Př1'!$A$34,N346)),MAX($M$2:M345)+1,0)</f>
        <v>344</v>
      </c>
      <c r="Y346" s="287" t="s">
        <v>1767</v>
      </c>
      <c r="Z346" t="str">
        <f>IFERROR(VLOOKUP(ROWS($Z$3:Z346),$X$3:$Y$718,2,0),"")</f>
        <v>Činnosti soukromých bezpečnostních agentur</v>
      </c>
    </row>
    <row r="347" spans="13:26">
      <c r="M347" s="286">
        <f>IF(ISNUMBER(SEARCH(ZAKL_DATA!$B$29,N347)),MAX($M$2:M346)+1,0)</f>
        <v>345</v>
      </c>
      <c r="N347" s="791" t="s">
        <v>1449</v>
      </c>
      <c r="O347" s="791" t="s">
        <v>3674</v>
      </c>
      <c r="Q347" s="288" t="str">
        <f>IFERROR(VLOOKUP(ROWS($Q$3:Q347),$M$3:$N$718,2,0),"")</f>
        <v>Řezání, tvarování a konečná úprava kamenů</v>
      </c>
      <c r="R347">
        <f>IF(ISNUMBER(SEARCH('1Př1'!$A$32,N347)),MAX($M$2:M346)+1,0)</f>
        <v>345</v>
      </c>
      <c r="S347" s="287" t="s">
        <v>1768</v>
      </c>
      <c r="T347" t="str">
        <f>IFERROR(VLOOKUP(ROWS($T$3:T347),$R$3:$S$718,2,0),"")</f>
        <v>Činnosti související s provozem bezpečnostních systémů</v>
      </c>
      <c r="U347">
        <f>IF(ISNUMBER(SEARCH('1Př1'!$A$33,N347)),MAX($M$2:M346)+1,0)</f>
        <v>345</v>
      </c>
      <c r="V347" s="287" t="s">
        <v>1768</v>
      </c>
      <c r="W347" t="str">
        <f>IFERROR(VLOOKUP(ROWS($W$3:W347),$U$3:$V$718,2,0),"")</f>
        <v>Činnosti související s provozem bezpečnostních systémů</v>
      </c>
      <c r="X347">
        <f>IF(ISNUMBER(SEARCH('1Př1'!$A$34,N347)),MAX($M$2:M346)+1,0)</f>
        <v>345</v>
      </c>
      <c r="Y347" s="287" t="s">
        <v>1768</v>
      </c>
      <c r="Z347" t="str">
        <f>IFERROR(VLOOKUP(ROWS($Z$3:Z347),$X$3:$Y$718,2,0),"")</f>
        <v>Činnosti související s provozem bezpečnostních systémů</v>
      </c>
    </row>
    <row r="348" spans="13:26">
      <c r="M348" s="286">
        <f>IF(ISNUMBER(SEARCH(ZAKL_DATA!$B$29,N348)),MAX($M$2:M347)+1,0)</f>
        <v>346</v>
      </c>
      <c r="N348" s="791" t="s">
        <v>2146</v>
      </c>
      <c r="O348" s="791" t="s">
        <v>3675</v>
      </c>
      <c r="Q348" s="288" t="str">
        <f>IFERROR(VLOOKUP(ROWS($Q$3:Q348),$M$3:$N$718,2,0),"")</f>
        <v>Řízení a správa finančních trhů</v>
      </c>
      <c r="R348">
        <f>IF(ISNUMBER(SEARCH('1Př1'!$A$32,N348)),MAX($M$2:M347)+1,0)</f>
        <v>346</v>
      </c>
      <c r="S348" s="287" t="s">
        <v>1769</v>
      </c>
      <c r="T348" t="str">
        <f>IFERROR(VLOOKUP(ROWS($T$3:T348),$R$3:$S$718,2,0),"")</f>
        <v>Pátrací činnosti</v>
      </c>
      <c r="U348">
        <f>IF(ISNUMBER(SEARCH('1Př1'!$A$33,N348)),MAX($M$2:M347)+1,0)</f>
        <v>346</v>
      </c>
      <c r="V348" s="287" t="s">
        <v>1769</v>
      </c>
      <c r="W348" t="str">
        <f>IFERROR(VLOOKUP(ROWS($W$3:W348),$U$3:$V$718,2,0),"")</f>
        <v>Pátrací činnosti</v>
      </c>
      <c r="X348">
        <f>IF(ISNUMBER(SEARCH('1Př1'!$A$34,N348)),MAX($M$2:M347)+1,0)</f>
        <v>346</v>
      </c>
      <c r="Y348" s="287" t="s">
        <v>1769</v>
      </c>
      <c r="Z348" t="str">
        <f>IFERROR(VLOOKUP(ROWS($Z$3:Z348),$X$3:$Y$718,2,0),"")</f>
        <v>Pátrací činnosti</v>
      </c>
    </row>
    <row r="349" spans="13:26">
      <c r="M349" s="286">
        <f>IF(ISNUMBER(SEARCH(ZAKL_DATA!$B$29,N349)),MAX($M$2:M348)+1,0)</f>
        <v>347</v>
      </c>
      <c r="N349" s="791" t="s">
        <v>922</v>
      </c>
      <c r="O349" s="791" t="s">
        <v>3676</v>
      </c>
      <c r="Q349" s="288" t="str">
        <f>IFERROR(VLOOKUP(ROWS($Q$3:Q349),$M$3:$N$718,2,0),"")</f>
        <v>Sanace a jiné činnosti související s odpady</v>
      </c>
      <c r="R349">
        <f>IF(ISNUMBER(SEARCH('1Př1'!$A$32,N349)),MAX($M$2:M348)+1,0)</f>
        <v>347</v>
      </c>
      <c r="S349" s="287" t="s">
        <v>1770</v>
      </c>
      <c r="T349" t="str">
        <f>IFERROR(VLOOKUP(ROWS($T$3:T349),$R$3:$S$718,2,0),"")</f>
        <v>Kombinované pomocné činnosti</v>
      </c>
      <c r="U349">
        <f>IF(ISNUMBER(SEARCH('1Př1'!$A$33,N349)),MAX($M$2:M348)+1,0)</f>
        <v>347</v>
      </c>
      <c r="V349" s="287" t="s">
        <v>1770</v>
      </c>
      <c r="W349" t="str">
        <f>IFERROR(VLOOKUP(ROWS($W$3:W349),$U$3:$V$718,2,0),"")</f>
        <v>Kombinované pomocné činnosti</v>
      </c>
      <c r="X349">
        <f>IF(ISNUMBER(SEARCH('1Př1'!$A$34,N349)),MAX($M$2:M348)+1,0)</f>
        <v>347</v>
      </c>
      <c r="Y349" s="287" t="s">
        <v>1770</v>
      </c>
      <c r="Z349" t="str">
        <f>IFERROR(VLOOKUP(ROWS($Z$3:Z349),$X$3:$Y$718,2,0),"")</f>
        <v>Kombinované pomocné činnosti</v>
      </c>
    </row>
    <row r="350" spans="13:26" ht="25.5">
      <c r="M350" s="286">
        <f>IF(ISNUMBER(SEARCH(ZAKL_DATA!$B$29,N350)),MAX($M$2:M349)+1,0)</f>
        <v>348</v>
      </c>
      <c r="N350" s="791" t="s">
        <v>851</v>
      </c>
      <c r="O350" s="791" t="s">
        <v>3677</v>
      </c>
      <c r="Q350" s="288" t="str">
        <f>IFERROR(VLOOKUP(ROWS($Q$3:Q350),$M$3:$N$718,2,0),"")</f>
        <v>Sběr a získávání volně rostoucích plodů a materiálů, kromě dřeva</v>
      </c>
      <c r="R350">
        <f>IF(ISNUMBER(SEARCH('1Př1'!$A$32,N350)),MAX($M$2:M349)+1,0)</f>
        <v>348</v>
      </c>
      <c r="S350" s="287" t="s">
        <v>1771</v>
      </c>
      <c r="T350" t="str">
        <f>IFERROR(VLOOKUP(ROWS($T$3:T350),$R$3:$S$718,2,0),"")</f>
        <v>Dobývání kamene pro výtv.nebo stav.účely,vápence,sádrovce,křídy,břidl.</v>
      </c>
      <c r="U350">
        <f>IF(ISNUMBER(SEARCH('1Př1'!$A$33,N350)),MAX($M$2:M349)+1,0)</f>
        <v>348</v>
      </c>
      <c r="V350" s="287" t="s">
        <v>1771</v>
      </c>
      <c r="W350" t="str">
        <f>IFERROR(VLOOKUP(ROWS($W$3:W350),$U$3:$V$718,2,0),"")</f>
        <v>Dobývání kamene pro výtv.nebo stav.účely,vápence,sádrovce,křídy,břidl.</v>
      </c>
      <c r="X350">
        <f>IF(ISNUMBER(SEARCH('1Př1'!$A$34,N350)),MAX($M$2:M349)+1,0)</f>
        <v>348</v>
      </c>
      <c r="Y350" s="287" t="s">
        <v>1771</v>
      </c>
      <c r="Z350" t="str">
        <f>IFERROR(VLOOKUP(ROWS($Z$3:Z350),$X$3:$Y$718,2,0),"")</f>
        <v>Dobývání kamene pro výtv.nebo stav.účely,vápence,sádrovce,křídy,břidl.</v>
      </c>
    </row>
    <row r="351" spans="13:26">
      <c r="M351" s="286">
        <f>IF(ISNUMBER(SEARCH(ZAKL_DATA!$B$29,N351)),MAX($M$2:M350)+1,0)</f>
        <v>349</v>
      </c>
      <c r="N351" s="791" t="s">
        <v>3678</v>
      </c>
      <c r="O351" s="791" t="s">
        <v>3679</v>
      </c>
      <c r="Q351" s="288" t="str">
        <f>IFERROR(VLOOKUP(ROWS($Q$3:Q351),$M$3:$N$718,2,0),"")</f>
        <v>Sběr nebezpečných odpadů</v>
      </c>
      <c r="R351">
        <f>IF(ISNUMBER(SEARCH('1Př1'!$A$32,N351)),MAX($M$2:M350)+1,0)</f>
        <v>349</v>
      </c>
      <c r="S351" s="287" t="s">
        <v>1772</v>
      </c>
      <c r="T351" t="str">
        <f>IFERROR(VLOOKUP(ROWS($T$3:T351),$R$3:$S$718,2,0),"")</f>
        <v>Úklidové činnosti</v>
      </c>
      <c r="U351">
        <f>IF(ISNUMBER(SEARCH('1Př1'!$A$33,N351)),MAX($M$2:M350)+1,0)</f>
        <v>349</v>
      </c>
      <c r="V351" s="287" t="s">
        <v>1772</v>
      </c>
      <c r="W351" t="str">
        <f>IFERROR(VLOOKUP(ROWS($W$3:W351),$U$3:$V$718,2,0),"")</f>
        <v>Úklidové činnosti</v>
      </c>
      <c r="X351">
        <f>IF(ISNUMBER(SEARCH('1Př1'!$A$34,N351)),MAX($M$2:M350)+1,0)</f>
        <v>349</v>
      </c>
      <c r="Y351" s="287" t="s">
        <v>1772</v>
      </c>
      <c r="Z351" t="str">
        <f>IFERROR(VLOOKUP(ROWS($Z$3:Z351),$X$3:$Y$718,2,0),"")</f>
        <v>Úklidové činnosti</v>
      </c>
    </row>
    <row r="352" spans="13:26">
      <c r="M352" s="286">
        <f>IF(ISNUMBER(SEARCH(ZAKL_DATA!$B$29,N352)),MAX($M$2:M351)+1,0)</f>
        <v>350</v>
      </c>
      <c r="N352" s="791" t="s">
        <v>3680</v>
      </c>
      <c r="O352" s="791" t="s">
        <v>3681</v>
      </c>
      <c r="Q352" s="288" t="str">
        <f>IFERROR(VLOOKUP(ROWS($Q$3:Q352),$M$3:$N$718,2,0),"")</f>
        <v>Sběr odpadů, kromě nebezpečných</v>
      </c>
      <c r="R352">
        <f>IF(ISNUMBER(SEARCH('1Př1'!$A$32,N352)),MAX($M$2:M351)+1,0)</f>
        <v>350</v>
      </c>
      <c r="S352" s="287" t="s">
        <v>1773</v>
      </c>
      <c r="T352" t="str">
        <f>IFERROR(VLOOKUP(ROWS($T$3:T352),$R$3:$S$718,2,0),"")</f>
        <v>Provoz pískoven a štěrkopískoven; těžba jílů a kaolinu</v>
      </c>
      <c r="U352">
        <f>IF(ISNUMBER(SEARCH('1Př1'!$A$33,N352)),MAX($M$2:M351)+1,0)</f>
        <v>350</v>
      </c>
      <c r="V352" s="287" t="s">
        <v>1773</v>
      </c>
      <c r="W352" t="str">
        <f>IFERROR(VLOOKUP(ROWS($W$3:W352),$U$3:$V$718,2,0),"")</f>
        <v>Provoz pískoven a štěrkopískoven; těžba jílů a kaolinu</v>
      </c>
      <c r="X352">
        <f>IF(ISNUMBER(SEARCH('1Př1'!$A$34,N352)),MAX($M$2:M351)+1,0)</f>
        <v>350</v>
      </c>
      <c r="Y352" s="287" t="s">
        <v>1773</v>
      </c>
      <c r="Z352" t="str">
        <f>IFERROR(VLOOKUP(ROWS($Z$3:Z352),$X$3:$Y$718,2,0),"")</f>
        <v>Provoz pískoven a štěrkopískoven; těžba jílů a kaolinu</v>
      </c>
    </row>
    <row r="353" spans="13:26" ht="25.5">
      <c r="M353" s="286">
        <f>IF(ISNUMBER(SEARCH(ZAKL_DATA!$B$29,N353)),MAX($M$2:M352)+1,0)</f>
        <v>351</v>
      </c>
      <c r="N353" s="791" t="s">
        <v>3682</v>
      </c>
      <c r="O353" s="791" t="s">
        <v>3683</v>
      </c>
      <c r="Q353" s="288" t="str">
        <f>IFERROR(VLOOKUP(ROWS($Q$3:Q353),$M$3:$N$718,2,0),"")</f>
        <v>Sekundární odborné vzdělávání bez maturitní zkoušky v jiných než uměleckých oborech</v>
      </c>
      <c r="R353">
        <f>IF(ISNUMBER(SEARCH('1Př1'!$A$32,N353)),MAX($M$2:M352)+1,0)</f>
        <v>351</v>
      </c>
      <c r="S353" s="287" t="s">
        <v>1774</v>
      </c>
      <c r="T353" t="str">
        <f>IFERROR(VLOOKUP(ROWS($T$3:T353),$R$3:$S$718,2,0),"")</f>
        <v>Činnosti související s úpravou krajiny</v>
      </c>
      <c r="U353">
        <f>IF(ISNUMBER(SEARCH('1Př1'!$A$33,N353)),MAX($M$2:M352)+1,0)</f>
        <v>351</v>
      </c>
      <c r="V353" s="287" t="s">
        <v>1774</v>
      </c>
      <c r="W353" t="str">
        <f>IFERROR(VLOOKUP(ROWS($W$3:W353),$U$3:$V$718,2,0),"")</f>
        <v>Činnosti související s úpravou krajiny</v>
      </c>
      <c r="X353">
        <f>IF(ISNUMBER(SEARCH('1Př1'!$A$34,N353)),MAX($M$2:M352)+1,0)</f>
        <v>351</v>
      </c>
      <c r="Y353" s="287" t="s">
        <v>1774</v>
      </c>
      <c r="Z353" t="str">
        <f>IFERROR(VLOOKUP(ROWS($Z$3:Z353),$X$3:$Y$718,2,0),"")</f>
        <v>Činnosti související s úpravou krajiny</v>
      </c>
    </row>
    <row r="354" spans="13:26" ht="25.5">
      <c r="M354" s="286">
        <f>IF(ISNUMBER(SEARCH(ZAKL_DATA!$B$29,N354)),MAX($M$2:M353)+1,0)</f>
        <v>352</v>
      </c>
      <c r="N354" s="791" t="s">
        <v>3684</v>
      </c>
      <c r="O354" s="791" t="s">
        <v>3685</v>
      </c>
      <c r="Q354" s="288" t="str">
        <f>IFERROR(VLOOKUP(ROWS($Q$3:Q354),$M$3:$N$718,2,0),"")</f>
        <v>Sekundární odborné vzdělávání s maturitní zkouškou v jiných než uměleckých oborech</v>
      </c>
      <c r="R354">
        <f>IF(ISNUMBER(SEARCH('1Př1'!$A$32,N354)),MAX($M$2:M353)+1,0)</f>
        <v>352</v>
      </c>
      <c r="S354" s="287" t="s">
        <v>1775</v>
      </c>
      <c r="T354" t="str">
        <f>IFERROR(VLOOKUP(ROWS($T$3:T354),$R$3:$S$718,2,0),"")</f>
        <v>Administrativní a kancelářské činnosti</v>
      </c>
      <c r="U354">
        <f>IF(ISNUMBER(SEARCH('1Př1'!$A$33,N354)),MAX($M$2:M353)+1,0)</f>
        <v>352</v>
      </c>
      <c r="V354" s="287" t="s">
        <v>1775</v>
      </c>
      <c r="W354" t="str">
        <f>IFERROR(VLOOKUP(ROWS($W$3:W354),$U$3:$V$718,2,0),"")</f>
        <v>Administrativní a kancelářské činnosti</v>
      </c>
      <c r="X354">
        <f>IF(ISNUMBER(SEARCH('1Př1'!$A$34,N354)),MAX($M$2:M353)+1,0)</f>
        <v>352</v>
      </c>
      <c r="Y354" s="287" t="s">
        <v>1775</v>
      </c>
      <c r="Z354" t="str">
        <f>IFERROR(VLOOKUP(ROWS($Z$3:Z354),$X$3:$Y$718,2,0),"")</f>
        <v>Administrativní a kancelářské činnosti</v>
      </c>
    </row>
    <row r="355" spans="13:26" ht="25.5">
      <c r="M355" s="286">
        <f>IF(ISNUMBER(SEARCH(ZAKL_DATA!$B$29,N355)),MAX($M$2:M354)+1,0)</f>
        <v>353</v>
      </c>
      <c r="N355" s="791" t="s">
        <v>3686</v>
      </c>
      <c r="O355" s="791" t="s">
        <v>3687</v>
      </c>
      <c r="Q355" s="288" t="str">
        <f>IFERROR(VLOOKUP(ROWS($Q$3:Q355),$M$3:$N$718,2,0),"")</f>
        <v>Sekundární odborné vzdělávání v uměleckých oborech</v>
      </c>
      <c r="R355">
        <f>IF(ISNUMBER(SEARCH('1Př1'!$A$32,N355)),MAX($M$2:M354)+1,0)</f>
        <v>353</v>
      </c>
      <c r="S355" s="287" t="s">
        <v>1776</v>
      </c>
      <c r="T355" t="str">
        <f>IFERROR(VLOOKUP(ROWS($T$3:T355),$R$3:$S$718,2,0),"")</f>
        <v>Činnosti zprostředkovatelských středisek po telefonu</v>
      </c>
      <c r="U355">
        <f>IF(ISNUMBER(SEARCH('1Př1'!$A$33,N355)),MAX($M$2:M354)+1,0)</f>
        <v>353</v>
      </c>
      <c r="V355" s="287" t="s">
        <v>1776</v>
      </c>
      <c r="W355" t="str">
        <f>IFERROR(VLOOKUP(ROWS($W$3:W355),$U$3:$V$718,2,0),"")</f>
        <v>Činnosti zprostředkovatelských středisek po telefonu</v>
      </c>
      <c r="X355">
        <f>IF(ISNUMBER(SEARCH('1Př1'!$A$34,N355)),MAX($M$2:M354)+1,0)</f>
        <v>353</v>
      </c>
      <c r="Y355" s="287" t="s">
        <v>1776</v>
      </c>
      <c r="Z355" t="str">
        <f>IFERROR(VLOOKUP(ROWS($Z$3:Z355),$X$3:$Y$718,2,0),"")</f>
        <v>Činnosti zprostředkovatelských středisek po telefonu</v>
      </c>
    </row>
    <row r="356" spans="13:26" ht="25.5">
      <c r="M356" s="286">
        <f>IF(ISNUMBER(SEARCH(ZAKL_DATA!$B$29,N356)),MAX($M$2:M355)+1,0)</f>
        <v>354</v>
      </c>
      <c r="N356" s="791" t="s">
        <v>3688</v>
      </c>
      <c r="O356" s="791" t="s">
        <v>3689</v>
      </c>
      <c r="Q356" s="288" t="str">
        <f>IFERROR(VLOOKUP(ROWS($Q$3:Q356),$M$3:$N$718,2,0),"")</f>
        <v>Sekundární všeobecné vzdělávání na druhém stupni základních škol</v>
      </c>
      <c r="R356">
        <f>IF(ISNUMBER(SEARCH('1Př1'!$A$32,N356)),MAX($M$2:M355)+1,0)</f>
        <v>354</v>
      </c>
      <c r="S356" s="287" t="s">
        <v>1777</v>
      </c>
      <c r="T356" t="str">
        <f>IFERROR(VLOOKUP(ROWS($T$3:T356),$R$3:$S$718,2,0),"")</f>
        <v>Pořádání konferencí a hospodářských výstav</v>
      </c>
      <c r="U356">
        <f>IF(ISNUMBER(SEARCH('1Př1'!$A$33,N356)),MAX($M$2:M355)+1,0)</f>
        <v>354</v>
      </c>
      <c r="V356" s="287" t="s">
        <v>1777</v>
      </c>
      <c r="W356" t="str">
        <f>IFERROR(VLOOKUP(ROWS($W$3:W356),$U$3:$V$718,2,0),"")</f>
        <v>Pořádání konferencí a hospodářských výstav</v>
      </c>
      <c r="X356">
        <f>IF(ISNUMBER(SEARCH('1Př1'!$A$34,N356)),MAX($M$2:M355)+1,0)</f>
        <v>354</v>
      </c>
      <c r="Y356" s="287" t="s">
        <v>1777</v>
      </c>
      <c r="Z356" t="str">
        <f>IFERROR(VLOOKUP(ROWS($Z$3:Z356),$X$3:$Y$718,2,0),"")</f>
        <v>Pořádání konferencí a hospodářských výstav</v>
      </c>
    </row>
    <row r="357" spans="13:26" ht="25.5">
      <c r="M357" s="286">
        <f>IF(ISNUMBER(SEARCH(ZAKL_DATA!$B$29,N357)),MAX($M$2:M356)+1,0)</f>
        <v>355</v>
      </c>
      <c r="N357" s="791" t="s">
        <v>3690</v>
      </c>
      <c r="O357" s="791" t="s">
        <v>3691</v>
      </c>
      <c r="Q357" s="288" t="str">
        <f>IFERROR(VLOOKUP(ROWS($Q$3:Q357),$M$3:$N$718,2,0),"")</f>
        <v>Sekundární všeobecné vzdělávání na středních školách</v>
      </c>
      <c r="R357">
        <f>IF(ISNUMBER(SEARCH('1Př1'!$A$32,N357)),MAX($M$2:M356)+1,0)</f>
        <v>355</v>
      </c>
      <c r="S357" s="287" t="s">
        <v>1778</v>
      </c>
      <c r="T357" t="str">
        <f>IFERROR(VLOOKUP(ROWS($T$3:T357),$R$3:$S$718,2,0),"")</f>
        <v>Podpůrné činnosti pro podnikání j. n.</v>
      </c>
      <c r="U357">
        <f>IF(ISNUMBER(SEARCH('1Př1'!$A$33,N357)),MAX($M$2:M356)+1,0)</f>
        <v>355</v>
      </c>
      <c r="V357" s="287" t="s">
        <v>1778</v>
      </c>
      <c r="W357" t="str">
        <f>IFERROR(VLOOKUP(ROWS($W$3:W357),$U$3:$V$718,2,0),"")</f>
        <v>Podpůrné činnosti pro podnikání j. n.</v>
      </c>
      <c r="X357">
        <f>IF(ISNUMBER(SEARCH('1Př1'!$A$34,N357)),MAX($M$2:M356)+1,0)</f>
        <v>355</v>
      </c>
      <c r="Y357" s="287" t="s">
        <v>1778</v>
      </c>
      <c r="Z357" t="str">
        <f>IFERROR(VLOOKUP(ROWS($Z$3:Z357),$X$3:$Y$718,2,0),"")</f>
        <v>Podpůrné činnosti pro podnikání j. n.</v>
      </c>
    </row>
    <row r="358" spans="13:26">
      <c r="M358" s="286">
        <f>IF(ISNUMBER(SEARCH(ZAKL_DATA!$B$29,N358)),MAX($M$2:M357)+1,0)</f>
        <v>356</v>
      </c>
      <c r="N358" s="791" t="s">
        <v>3692</v>
      </c>
      <c r="O358" s="791" t="s">
        <v>3693</v>
      </c>
      <c r="Q358" s="288" t="str">
        <f>IFERROR(VLOOKUP(ROWS($Q$3:Q358),$M$3:$N$718,2,0),"")</f>
        <v>Shromažďování, úprava a distribuce vody</v>
      </c>
      <c r="R358">
        <f>IF(ISNUMBER(SEARCH('1Př1'!$A$32,N358)),MAX($M$2:M357)+1,0)</f>
        <v>356</v>
      </c>
      <c r="S358" s="287" t="s">
        <v>1779</v>
      </c>
      <c r="T358" t="str">
        <f>IFERROR(VLOOKUP(ROWS($T$3:T358),$R$3:$S$718,2,0),"")</f>
        <v>Veřejná správa a hospodářská a sociální politika</v>
      </c>
      <c r="U358">
        <f>IF(ISNUMBER(SEARCH('1Př1'!$A$33,N358)),MAX($M$2:M357)+1,0)</f>
        <v>356</v>
      </c>
      <c r="V358" s="287" t="s">
        <v>1779</v>
      </c>
      <c r="W358" t="str">
        <f>IFERROR(VLOOKUP(ROWS($W$3:W358),$U$3:$V$718,2,0),"")</f>
        <v>Veřejná správa a hospodářská a sociální politika</v>
      </c>
      <c r="X358">
        <f>IF(ISNUMBER(SEARCH('1Př1'!$A$34,N358)),MAX($M$2:M357)+1,0)</f>
        <v>356</v>
      </c>
      <c r="Y358" s="287" t="s">
        <v>1779</v>
      </c>
      <c r="Z358" t="str">
        <f>IFERROR(VLOOKUP(ROWS($Z$3:Z358),$X$3:$Y$718,2,0),"")</f>
        <v>Veřejná správa a hospodářská a sociální politika</v>
      </c>
    </row>
    <row r="359" spans="13:26">
      <c r="M359" s="286">
        <f>IF(ISNUMBER(SEARCH(ZAKL_DATA!$B$29,N359)),MAX($M$2:M358)+1,0)</f>
        <v>357</v>
      </c>
      <c r="N359" s="791" t="s">
        <v>2126</v>
      </c>
      <c r="O359" s="791" t="s">
        <v>3694</v>
      </c>
      <c r="Q359" s="288" t="str">
        <f>IFERROR(VLOOKUP(ROWS($Q$3:Q359),$M$3:$N$718,2,0),"")</f>
        <v>Silniční nákladní doprava</v>
      </c>
      <c r="R359">
        <f>IF(ISNUMBER(SEARCH('1Př1'!$A$32,N359)),MAX($M$2:M358)+1,0)</f>
        <v>357</v>
      </c>
      <c r="S359" s="287" t="s">
        <v>1780</v>
      </c>
      <c r="T359" t="str">
        <f>IFERROR(VLOOKUP(ROWS($T$3:T359),$R$3:$S$718,2,0),"")</f>
        <v>Činnosti pro společnost jako celek</v>
      </c>
      <c r="U359">
        <f>IF(ISNUMBER(SEARCH('1Př1'!$A$33,N359)),MAX($M$2:M358)+1,0)</f>
        <v>357</v>
      </c>
      <c r="V359" s="287" t="s">
        <v>1780</v>
      </c>
      <c r="W359" t="str">
        <f>IFERROR(VLOOKUP(ROWS($W$3:W359),$U$3:$V$718,2,0),"")</f>
        <v>Činnosti pro společnost jako celek</v>
      </c>
      <c r="X359">
        <f>IF(ISNUMBER(SEARCH('1Př1'!$A$34,N359)),MAX($M$2:M358)+1,0)</f>
        <v>357</v>
      </c>
      <c r="Y359" s="287" t="s">
        <v>1780</v>
      </c>
      <c r="Z359" t="str">
        <f>IFERROR(VLOOKUP(ROWS($Z$3:Z359),$X$3:$Y$718,2,0),"")</f>
        <v>Činnosti pro společnost jako celek</v>
      </c>
    </row>
    <row r="360" spans="13:26">
      <c r="M360" s="286">
        <f>IF(ISNUMBER(SEARCH(ZAKL_DATA!$B$29,N360)),MAX($M$2:M359)+1,0)</f>
        <v>358</v>
      </c>
      <c r="N360" s="791" t="s">
        <v>3695</v>
      </c>
      <c r="O360" s="791" t="s">
        <v>3696</v>
      </c>
      <c r="Q360" s="288" t="str">
        <f>IFERROR(VLOOKUP(ROWS($Q$3:Q360),$M$3:$N$718,2,0),"")</f>
        <v>Skládkování nebo trvalé uložení odpadů</v>
      </c>
      <c r="R360">
        <f>IF(ISNUMBER(SEARCH('1Př1'!$A$32,N360)),MAX($M$2:M359)+1,0)</f>
        <v>358</v>
      </c>
      <c r="S360" s="287" t="s">
        <v>1781</v>
      </c>
      <c r="T360" t="str">
        <f>IFERROR(VLOOKUP(ROWS($T$3:T360),$R$3:$S$718,2,0),"")</f>
        <v>Činnosti v oblasti povinného sociálního zabezpečení</v>
      </c>
      <c r="U360">
        <f>IF(ISNUMBER(SEARCH('1Př1'!$A$33,N360)),MAX($M$2:M359)+1,0)</f>
        <v>358</v>
      </c>
      <c r="V360" s="287" t="s">
        <v>1781</v>
      </c>
      <c r="W360" t="str">
        <f>IFERROR(VLOOKUP(ROWS($W$3:W360),$U$3:$V$718,2,0),"")</f>
        <v>Činnosti v oblasti povinného sociálního zabezpečení</v>
      </c>
      <c r="X360">
        <f>IF(ISNUMBER(SEARCH('1Př1'!$A$34,N360)),MAX($M$2:M359)+1,0)</f>
        <v>358</v>
      </c>
      <c r="Y360" s="287" t="s">
        <v>1781</v>
      </c>
      <c r="Z360" t="str">
        <f>IFERROR(VLOOKUP(ROWS($Z$3:Z360),$X$3:$Y$718,2,0),"")</f>
        <v>Činnosti v oblasti povinného sociálního zabezpečení</v>
      </c>
    </row>
    <row r="361" spans="13:26">
      <c r="M361" s="286">
        <f>IF(ISNUMBER(SEARCH(ZAKL_DATA!$B$29,N361)),MAX($M$2:M360)+1,0)</f>
        <v>359</v>
      </c>
      <c r="N361" s="791" t="s">
        <v>1707</v>
      </c>
      <c r="O361" s="791" t="s">
        <v>3697</v>
      </c>
      <c r="Q361" s="288" t="str">
        <f>IFERROR(VLOOKUP(ROWS($Q$3:Q361),$M$3:$N$718,2,0),"")</f>
        <v>Skladování</v>
      </c>
      <c r="R361">
        <f>IF(ISNUMBER(SEARCH('1Př1'!$A$32,N361)),MAX($M$2:M360)+1,0)</f>
        <v>359</v>
      </c>
      <c r="S361" s="287" t="s">
        <v>1782</v>
      </c>
      <c r="T361" t="str">
        <f>IFERROR(VLOOKUP(ROWS($T$3:T361),$R$3:$S$718,2,0),"")</f>
        <v>Předškolní vzdělávání</v>
      </c>
      <c r="U361">
        <f>IF(ISNUMBER(SEARCH('1Př1'!$A$33,N361)),MAX($M$2:M360)+1,0)</f>
        <v>359</v>
      </c>
      <c r="V361" s="287" t="s">
        <v>1782</v>
      </c>
      <c r="W361" t="str">
        <f>IFERROR(VLOOKUP(ROWS($W$3:W361),$U$3:$V$718,2,0),"")</f>
        <v>Předškolní vzdělávání</v>
      </c>
      <c r="X361">
        <f>IF(ISNUMBER(SEARCH('1Př1'!$A$34,N361)),MAX($M$2:M360)+1,0)</f>
        <v>359</v>
      </c>
      <c r="Y361" s="287" t="s">
        <v>1782</v>
      </c>
      <c r="Z361" t="str">
        <f>IFERROR(VLOOKUP(ROWS($Z$3:Z361),$X$3:$Y$718,2,0),"")</f>
        <v>Předškolní vzdělávání</v>
      </c>
    </row>
    <row r="362" spans="13:26">
      <c r="M362" s="286">
        <f>IF(ISNUMBER(SEARCH(ZAKL_DATA!$B$29,N362)),MAX($M$2:M361)+1,0)</f>
        <v>360</v>
      </c>
      <c r="N362" s="791" t="s">
        <v>3698</v>
      </c>
      <c r="O362" s="791" t="s">
        <v>3699</v>
      </c>
      <c r="Q362" s="288" t="str">
        <f>IFERROR(VLOOKUP(ROWS($Q$3:Q362),$M$3:$N$718,2,0),"")</f>
        <v>Skladování elektřiny</v>
      </c>
      <c r="R362">
        <f>IF(ISNUMBER(SEARCH('1Př1'!$A$32,N362)),MAX($M$2:M361)+1,0)</f>
        <v>360</v>
      </c>
      <c r="S362" s="287" t="s">
        <v>1783</v>
      </c>
      <c r="T362" t="str">
        <f>IFERROR(VLOOKUP(ROWS($T$3:T362),$R$3:$S$718,2,0),"")</f>
        <v>Primární vzdělávání</v>
      </c>
      <c r="U362">
        <f>IF(ISNUMBER(SEARCH('1Př1'!$A$33,N362)),MAX($M$2:M361)+1,0)</f>
        <v>360</v>
      </c>
      <c r="V362" s="287" t="s">
        <v>1783</v>
      </c>
      <c r="W362" t="str">
        <f>IFERROR(VLOOKUP(ROWS($W$3:W362),$U$3:$V$718,2,0),"")</f>
        <v>Primární vzdělávání</v>
      </c>
      <c r="X362">
        <f>IF(ISNUMBER(SEARCH('1Př1'!$A$34,N362)),MAX($M$2:M361)+1,0)</f>
        <v>360</v>
      </c>
      <c r="Y362" s="287" t="s">
        <v>1783</v>
      </c>
      <c r="Z362" t="str">
        <f>IFERROR(VLOOKUP(ROWS($Z$3:Z362),$X$3:$Y$718,2,0),"")</f>
        <v>Primární vzdělávání</v>
      </c>
    </row>
    <row r="363" spans="13:26" ht="25.5">
      <c r="M363" s="286">
        <f>IF(ISNUMBER(SEARCH(ZAKL_DATA!$B$29,N363)),MAX($M$2:M362)+1,0)</f>
        <v>361</v>
      </c>
      <c r="N363" s="791" t="s">
        <v>3700</v>
      </c>
      <c r="O363" s="791" t="s">
        <v>3701</v>
      </c>
      <c r="Q363" s="288" t="str">
        <f>IFERROR(VLOOKUP(ROWS($Q$3:Q363),$M$3:$N$718,2,0),"")</f>
        <v>Skladování plynu jako součást služeb síťových dodávek</v>
      </c>
      <c r="R363">
        <f>IF(ISNUMBER(SEARCH('1Př1'!$A$32,N363)),MAX($M$2:M362)+1,0)</f>
        <v>361</v>
      </c>
      <c r="S363" s="287" t="s">
        <v>1784</v>
      </c>
      <c r="T363" t="str">
        <f>IFERROR(VLOOKUP(ROWS($T$3:T363),$R$3:$S$718,2,0),"")</f>
        <v>Sekundární vzdělávání</v>
      </c>
      <c r="U363">
        <f>IF(ISNUMBER(SEARCH('1Př1'!$A$33,N363)),MAX($M$2:M362)+1,0)</f>
        <v>361</v>
      </c>
      <c r="V363" s="287" t="s">
        <v>1784</v>
      </c>
      <c r="W363" t="str">
        <f>IFERROR(VLOOKUP(ROWS($W$3:W363),$U$3:$V$718,2,0),"")</f>
        <v>Sekundární vzdělávání</v>
      </c>
      <c r="X363">
        <f>IF(ISNUMBER(SEARCH('1Př1'!$A$34,N363)),MAX($M$2:M362)+1,0)</f>
        <v>361</v>
      </c>
      <c r="Y363" s="287" t="s">
        <v>1784</v>
      </c>
      <c r="Z363" t="str">
        <f>IFERROR(VLOOKUP(ROWS($Z$3:Z363),$X$3:$Y$718,2,0),"")</f>
        <v>Sekundární vzdělávání</v>
      </c>
    </row>
    <row r="364" spans="13:26">
      <c r="M364" s="286">
        <f>IF(ISNUMBER(SEARCH(ZAKL_DATA!$B$29,N364)),MAX($M$2:M363)+1,0)</f>
        <v>362</v>
      </c>
      <c r="N364" s="791" t="s">
        <v>2032</v>
      </c>
      <c r="O364" s="791" t="s">
        <v>3702</v>
      </c>
      <c r="Q364" s="288" t="str">
        <f>IFERROR(VLOOKUP(ROWS($Q$3:Q364),$M$3:$N$718,2,0),"")</f>
        <v>Sklenářské, malířské a natěračské práce</v>
      </c>
      <c r="R364">
        <f>IF(ISNUMBER(SEARCH('1Př1'!$A$32,N364)),MAX($M$2:M363)+1,0)</f>
        <v>362</v>
      </c>
      <c r="S364" s="287" t="s">
        <v>1785</v>
      </c>
      <c r="T364" t="str">
        <f>IFERROR(VLOOKUP(ROWS($T$3:T364),$R$3:$S$718,2,0),"")</f>
        <v>Postsekundární vzdělávání</v>
      </c>
      <c r="U364">
        <f>IF(ISNUMBER(SEARCH('1Př1'!$A$33,N364)),MAX($M$2:M363)+1,0)</f>
        <v>362</v>
      </c>
      <c r="V364" s="287" t="s">
        <v>1785</v>
      </c>
      <c r="W364" t="str">
        <f>IFERROR(VLOOKUP(ROWS($W$3:W364),$U$3:$V$718,2,0),"")</f>
        <v>Postsekundární vzdělávání</v>
      </c>
      <c r="X364">
        <f>IF(ISNUMBER(SEARCH('1Př1'!$A$34,N364)),MAX($M$2:M363)+1,0)</f>
        <v>362</v>
      </c>
      <c r="Y364" s="287" t="s">
        <v>1785</v>
      </c>
      <c r="Z364" t="str">
        <f>IFERROR(VLOOKUP(ROWS($Z$3:Z364),$X$3:$Y$718,2,0),"")</f>
        <v>Postsekundární vzdělávání</v>
      </c>
    </row>
    <row r="365" spans="13:26">
      <c r="M365" s="286">
        <f>IF(ISNUMBER(SEARCH(ZAKL_DATA!$B$29,N365)),MAX($M$2:M364)+1,0)</f>
        <v>363</v>
      </c>
      <c r="N365" s="791" t="s">
        <v>1609</v>
      </c>
      <c r="O365" s="791" t="s">
        <v>3703</v>
      </c>
      <c r="Q365" s="288" t="str">
        <f>IFERROR(VLOOKUP(ROWS($Q$3:Q365),$M$3:$N$718,2,0),"")</f>
        <v>Sladkovodní akvakultura</v>
      </c>
      <c r="R365">
        <f>IF(ISNUMBER(SEARCH('1Př1'!$A$32,N365)),MAX($M$2:M364)+1,0)</f>
        <v>363</v>
      </c>
      <c r="S365" s="287" t="s">
        <v>1786</v>
      </c>
      <c r="T365" t="str">
        <f>IFERROR(VLOOKUP(ROWS($T$3:T365),$R$3:$S$718,2,0),"")</f>
        <v>Ostatní vzdělávání</v>
      </c>
      <c r="U365">
        <f>IF(ISNUMBER(SEARCH('1Př1'!$A$33,N365)),MAX($M$2:M364)+1,0)</f>
        <v>363</v>
      </c>
      <c r="V365" s="287" t="s">
        <v>1786</v>
      </c>
      <c r="W365" t="str">
        <f>IFERROR(VLOOKUP(ROWS($W$3:W365),$U$3:$V$718,2,0),"")</f>
        <v>Ostatní vzdělávání</v>
      </c>
      <c r="X365">
        <f>IF(ISNUMBER(SEARCH('1Př1'!$A$34,N365)),MAX($M$2:M364)+1,0)</f>
        <v>363</v>
      </c>
      <c r="Y365" s="287" t="s">
        <v>1786</v>
      </c>
      <c r="Z365" t="str">
        <f>IFERROR(VLOOKUP(ROWS($Z$3:Z365),$X$3:$Y$718,2,0),"")</f>
        <v>Ostatní vzdělávání</v>
      </c>
    </row>
    <row r="366" spans="13:26">
      <c r="M366" s="286">
        <f>IF(ISNUMBER(SEARCH(ZAKL_DATA!$B$29,N366)),MAX($M$2:M365)+1,0)</f>
        <v>364</v>
      </c>
      <c r="N366" s="791" t="s">
        <v>1597</v>
      </c>
      <c r="O366" s="791" t="s">
        <v>3704</v>
      </c>
      <c r="Q366" s="288" t="str">
        <f>IFERROR(VLOOKUP(ROWS($Q$3:Q366),$M$3:$N$718,2,0),"")</f>
        <v>Sladkovodní rybolov</v>
      </c>
      <c r="R366">
        <f>IF(ISNUMBER(SEARCH('1Př1'!$A$32,N366)),MAX($M$2:M365)+1,0)</f>
        <v>364</v>
      </c>
      <c r="S366" s="287" t="s">
        <v>1787</v>
      </c>
      <c r="T366" t="str">
        <f>IFERROR(VLOOKUP(ROWS($T$3:T366),$R$3:$S$718,2,0),"")</f>
        <v>Podpůrné činnosti ve vzdělávání</v>
      </c>
      <c r="U366">
        <f>IF(ISNUMBER(SEARCH('1Př1'!$A$33,N366)),MAX($M$2:M365)+1,0)</f>
        <v>364</v>
      </c>
      <c r="V366" s="287" t="s">
        <v>1787</v>
      </c>
      <c r="W366" t="str">
        <f>IFERROR(VLOOKUP(ROWS($W$3:W366),$U$3:$V$718,2,0),"")</f>
        <v>Podpůrné činnosti ve vzdělávání</v>
      </c>
      <c r="X366">
        <f>IF(ISNUMBER(SEARCH('1Př1'!$A$34,N366)),MAX($M$2:M365)+1,0)</f>
        <v>364</v>
      </c>
      <c r="Y366" s="287" t="s">
        <v>1787</v>
      </c>
      <c r="Z366" t="str">
        <f>IFERROR(VLOOKUP(ROWS($Z$3:Z366),$X$3:$Y$718,2,0),"")</f>
        <v>Podpůrné činnosti ve vzdělávání</v>
      </c>
    </row>
    <row r="367" spans="13:26">
      <c r="M367" s="286">
        <f>IF(ISNUMBER(SEARCH(ZAKL_DATA!$B$29,N367)),MAX($M$2:M366)+1,0)</f>
        <v>365</v>
      </c>
      <c r="N367" s="791" t="s">
        <v>3705</v>
      </c>
      <c r="O367" s="791" t="s">
        <v>3706</v>
      </c>
      <c r="Q367" s="288" t="str">
        <f>IFERROR(VLOOKUP(ROWS($Q$3:Q367),$M$3:$N$718,2,0),"")</f>
        <v>Služby pro děti</v>
      </c>
      <c r="R367">
        <f>IF(ISNUMBER(SEARCH('1Př1'!$A$32,N367)),MAX($M$2:M366)+1,0)</f>
        <v>365</v>
      </c>
      <c r="S367" s="287" t="s">
        <v>1788</v>
      </c>
      <c r="T367" t="str">
        <f>IFERROR(VLOOKUP(ROWS($T$3:T367),$R$3:$S$718,2,0),"")</f>
        <v>Ústavní zdravotní péče</v>
      </c>
      <c r="U367">
        <f>IF(ISNUMBER(SEARCH('1Př1'!$A$33,N367)),MAX($M$2:M366)+1,0)</f>
        <v>365</v>
      </c>
      <c r="V367" s="287" t="s">
        <v>1788</v>
      </c>
      <c r="W367" t="str">
        <f>IFERROR(VLOOKUP(ROWS($W$3:W367),$U$3:$V$718,2,0),"")</f>
        <v>Ústavní zdravotní péče</v>
      </c>
      <c r="X367">
        <f>IF(ISNUMBER(SEARCH('1Př1'!$A$34,N367)),MAX($M$2:M366)+1,0)</f>
        <v>365</v>
      </c>
      <c r="Y367" s="287" t="s">
        <v>1788</v>
      </c>
      <c r="Z367" t="str">
        <f>IFERROR(VLOOKUP(ROWS($Z$3:Z367),$X$3:$Y$718,2,0),"")</f>
        <v>Ústavní zdravotní péče</v>
      </c>
    </row>
    <row r="368" spans="13:26">
      <c r="M368" s="286">
        <f>IF(ISNUMBER(SEARCH(ZAKL_DATA!$B$29,N368)),MAX($M$2:M367)+1,0)</f>
        <v>366</v>
      </c>
      <c r="N368" s="791" t="s">
        <v>3707</v>
      </c>
      <c r="O368" s="791" t="s">
        <v>3708</v>
      </c>
      <c r="Q368" s="288" t="str">
        <f>IFERROR(VLOOKUP(ROWS($Q$3:Q368),$M$3:$N$718,2,0),"")</f>
        <v>Smíšené hospodaření</v>
      </c>
      <c r="R368">
        <f>IF(ISNUMBER(SEARCH('1Př1'!$A$32,N368)),MAX($M$2:M367)+1,0)</f>
        <v>366</v>
      </c>
      <c r="S368" s="287" t="s">
        <v>1789</v>
      </c>
      <c r="T368" t="str">
        <f>IFERROR(VLOOKUP(ROWS($T$3:T368),$R$3:$S$718,2,0),"")</f>
        <v>Ambulantní a zubní zdravotní péče</v>
      </c>
      <c r="U368">
        <f>IF(ISNUMBER(SEARCH('1Př1'!$A$33,N368)),MAX($M$2:M367)+1,0)</f>
        <v>366</v>
      </c>
      <c r="V368" s="287" t="s">
        <v>1789</v>
      </c>
      <c r="W368" t="str">
        <f>IFERROR(VLOOKUP(ROWS($W$3:W368),$U$3:$V$718,2,0),"")</f>
        <v>Ambulantní a zubní zdravotní péče</v>
      </c>
      <c r="X368">
        <f>IF(ISNUMBER(SEARCH('1Př1'!$A$34,N368)),MAX($M$2:M367)+1,0)</f>
        <v>366</v>
      </c>
      <c r="Y368" s="287" t="s">
        <v>1789</v>
      </c>
      <c r="Z368" t="str">
        <f>IFERROR(VLOOKUP(ROWS($Z$3:Z368),$X$3:$Y$718,2,0),"")</f>
        <v>Ambulantní a zubní zdravotní péče</v>
      </c>
    </row>
    <row r="369" spans="13:26">
      <c r="M369" s="286">
        <f>IF(ISNUMBER(SEARCH(ZAKL_DATA!$B$29,N369)),MAX($M$2:M368)+1,0)</f>
        <v>367</v>
      </c>
      <c r="N369" s="791" t="s">
        <v>3709</v>
      </c>
      <c r="O369" s="791" t="s">
        <v>3710</v>
      </c>
      <c r="Q369" s="288" t="str">
        <f>IFERROR(VLOOKUP(ROWS($Q$3:Q369),$M$3:$N$718,2,0),"")</f>
        <v>Spalování odpadů bez energetického využití</v>
      </c>
      <c r="R369">
        <f>IF(ISNUMBER(SEARCH('1Př1'!$A$32,N369)),MAX($M$2:M368)+1,0)</f>
        <v>367</v>
      </c>
      <c r="S369" s="287" t="s">
        <v>1790</v>
      </c>
      <c r="T369" t="str">
        <f>IFERROR(VLOOKUP(ROWS($T$3:T369),$R$3:$S$718,2,0),"")</f>
        <v>Ostatní činnosti související se zdravotní péčí</v>
      </c>
      <c r="U369">
        <f>IF(ISNUMBER(SEARCH('1Př1'!$A$33,N369)),MAX($M$2:M368)+1,0)</f>
        <v>367</v>
      </c>
      <c r="V369" s="287" t="s">
        <v>1790</v>
      </c>
      <c r="W369" t="str">
        <f>IFERROR(VLOOKUP(ROWS($W$3:W369),$U$3:$V$718,2,0),"")</f>
        <v>Ostatní činnosti související se zdravotní péčí</v>
      </c>
      <c r="X369">
        <f>IF(ISNUMBER(SEARCH('1Př1'!$A$34,N369)),MAX($M$2:M368)+1,0)</f>
        <v>367</v>
      </c>
      <c r="Y369" s="287" t="s">
        <v>1790</v>
      </c>
      <c r="Z369" t="str">
        <f>IFERROR(VLOOKUP(ROWS($Z$3:Z369),$X$3:$Y$718,2,0),"")</f>
        <v>Ostatní činnosti související se zdravotní péčí</v>
      </c>
    </row>
    <row r="370" spans="13:26">
      <c r="M370" s="286">
        <f>IF(ISNUMBER(SEARCH(ZAKL_DATA!$B$29,N370)),MAX($M$2:M369)+1,0)</f>
        <v>368</v>
      </c>
      <c r="N370" s="791" t="s">
        <v>2180</v>
      </c>
      <c r="O370" s="791" t="s">
        <v>3711</v>
      </c>
      <c r="Q370" s="288" t="str">
        <f>IFERROR(VLOOKUP(ROWS($Q$3:Q370),$M$3:$N$718,2,0),"")</f>
        <v>Specializovaná ambulantní zdravotní péče</v>
      </c>
      <c r="R370">
        <f>IF(ISNUMBER(SEARCH('1Př1'!$A$32,N370)),MAX($M$2:M369)+1,0)</f>
        <v>368</v>
      </c>
      <c r="S370" s="287" t="s">
        <v>1791</v>
      </c>
      <c r="T370" t="str">
        <f>IFERROR(VLOOKUP(ROWS($T$3:T370),$R$3:$S$718,2,0),"")</f>
        <v>Ústavní sociální péče</v>
      </c>
      <c r="U370">
        <f>IF(ISNUMBER(SEARCH('1Př1'!$A$33,N370)),MAX($M$2:M369)+1,0)</f>
        <v>368</v>
      </c>
      <c r="V370" s="287" t="s">
        <v>1791</v>
      </c>
      <c r="W370" t="str">
        <f>IFERROR(VLOOKUP(ROWS($W$3:W370),$U$3:$V$718,2,0),"")</f>
        <v>Ústavní sociální péče</v>
      </c>
      <c r="X370">
        <f>IF(ISNUMBER(SEARCH('1Př1'!$A$34,N370)),MAX($M$2:M369)+1,0)</f>
        <v>368</v>
      </c>
      <c r="Y370" s="287" t="s">
        <v>1791</v>
      </c>
      <c r="Z370" t="str">
        <f>IFERROR(VLOOKUP(ROWS($Z$3:Z370),$X$3:$Y$718,2,0),"")</f>
        <v>Ústavní sociální péče</v>
      </c>
    </row>
    <row r="371" spans="13:26" ht="25.5">
      <c r="M371" s="286">
        <f>IF(ISNUMBER(SEARCH(ZAKL_DATA!$B$29,N371)),MAX($M$2:M370)+1,0)</f>
        <v>369</v>
      </c>
      <c r="N371" s="791" t="s">
        <v>2166</v>
      </c>
      <c r="O371" s="791" t="s">
        <v>3712</v>
      </c>
      <c r="Q371" s="288" t="str">
        <f>IFERROR(VLOOKUP(ROWS($Q$3:Q371),$M$3:$N$718,2,0),"")</f>
        <v>Specializované čištění a úklid budov a průmyslových zařízení</v>
      </c>
      <c r="R371">
        <f>IF(ISNUMBER(SEARCH('1Př1'!$A$32,N371)),MAX($M$2:M370)+1,0)</f>
        <v>369</v>
      </c>
      <c r="S371" s="287" t="s">
        <v>1792</v>
      </c>
      <c r="T371" t="str">
        <f>IFERROR(VLOOKUP(ROWS($T$3:T371),$R$3:$S$718,2,0),"")</f>
        <v>Sociální péče ve zdravotnických zařízeních ústavní péče</v>
      </c>
      <c r="U371">
        <f>IF(ISNUMBER(SEARCH('1Př1'!$A$33,N371)),MAX($M$2:M370)+1,0)</f>
        <v>369</v>
      </c>
      <c r="V371" s="287" t="s">
        <v>1792</v>
      </c>
      <c r="W371" t="str">
        <f>IFERROR(VLOOKUP(ROWS($W$3:W371),$U$3:$V$718,2,0),"")</f>
        <v>Sociální péče ve zdravotnických zařízeních ústavní péče</v>
      </c>
      <c r="X371">
        <f>IF(ISNUMBER(SEARCH('1Př1'!$A$34,N371)),MAX($M$2:M370)+1,0)</f>
        <v>369</v>
      </c>
      <c r="Y371" s="287" t="s">
        <v>1792</v>
      </c>
      <c r="Z371" t="str">
        <f>IFERROR(VLOOKUP(ROWS($Z$3:Z371),$X$3:$Y$718,2,0),"")</f>
        <v>Sociální péče ve zdravotnických zařízeních ústavní péče</v>
      </c>
    </row>
    <row r="372" spans="13:26" ht="25.5">
      <c r="M372" s="286">
        <f>IF(ISNUMBER(SEARCH(ZAKL_DATA!$B$29,N372)),MAX($M$2:M371)+1,0)</f>
        <v>370</v>
      </c>
      <c r="N372" s="791" t="s">
        <v>3713</v>
      </c>
      <c r="O372" s="791" t="s">
        <v>3714</v>
      </c>
      <c r="Q372" s="288" t="str">
        <f>IFERROR(VLOOKUP(ROWS($Q$3:Q372),$M$3:$N$718,2,0),"")</f>
        <v>Specializované stavební činnosti při výstavbě inženýrských děl</v>
      </c>
      <c r="R372">
        <f>IF(ISNUMBER(SEARCH('1Př1'!$A$32,N372)),MAX($M$2:M371)+1,0)</f>
        <v>370</v>
      </c>
      <c r="S372" s="287" t="s">
        <v>1793</v>
      </c>
      <c r="T372" t="str">
        <f>IFERROR(VLOOKUP(ROWS($T$3:T372),$R$3:$S$718,2,0),"")</f>
        <v>Soc.péče v zaříz.pro osoby s chron.duš.onemoc.a osoby závislé na návyk.l.</v>
      </c>
      <c r="U372">
        <f>IF(ISNUMBER(SEARCH('1Př1'!$A$33,N372)),MAX($M$2:M371)+1,0)</f>
        <v>370</v>
      </c>
      <c r="V372" s="287" t="s">
        <v>1793</v>
      </c>
      <c r="W372" t="str">
        <f>IFERROR(VLOOKUP(ROWS($W$3:W372),$U$3:$V$718,2,0),"")</f>
        <v>Soc.péče v zaříz.pro osoby s chron.duš.onemoc.a osoby závislé na návyk.l.</v>
      </c>
      <c r="X372">
        <f>IF(ISNUMBER(SEARCH('1Př1'!$A$34,N372)),MAX($M$2:M371)+1,0)</f>
        <v>370</v>
      </c>
      <c r="Y372" s="287" t="s">
        <v>1793</v>
      </c>
      <c r="Z372" t="str">
        <f>IFERROR(VLOOKUP(ROWS($Z$3:Z372),$X$3:$Y$718,2,0),"")</f>
        <v>Soc.péče v zaříz.pro osoby s chron.duš.onemoc.a osoby závislé na návyk.l.</v>
      </c>
    </row>
    <row r="373" spans="13:26">
      <c r="M373" s="286">
        <f>IF(ISNUMBER(SEARCH(ZAKL_DATA!$B$29,N373)),MAX($M$2:M372)+1,0)</f>
        <v>371</v>
      </c>
      <c r="N373" s="791" t="s">
        <v>3715</v>
      </c>
      <c r="O373" s="791" t="s">
        <v>3716</v>
      </c>
      <c r="Q373" s="288" t="str">
        <f>IFERROR(VLOOKUP(ROWS($Q$3:Q373),$M$3:$N$718,2,0),"")</f>
        <v>Specializovaný maloobchod s ostatními potravinami</v>
      </c>
      <c r="R373">
        <f>IF(ISNUMBER(SEARCH('1Př1'!$A$32,N373)),MAX($M$2:M372)+1,0)</f>
        <v>371</v>
      </c>
      <c r="S373" s="287" t="s">
        <v>1794</v>
      </c>
      <c r="T373" t="str">
        <f>IFERROR(VLOOKUP(ROWS($T$3:T373),$R$3:$S$718,2,0),"")</f>
        <v>Sociální péče v domovech pro seniory a osoby se zdravotním postižením</v>
      </c>
      <c r="U373">
        <f>IF(ISNUMBER(SEARCH('1Př1'!$A$33,N373)),MAX($M$2:M372)+1,0)</f>
        <v>371</v>
      </c>
      <c r="V373" s="287" t="s">
        <v>1794</v>
      </c>
      <c r="W373" t="str">
        <f>IFERROR(VLOOKUP(ROWS($W$3:W373),$U$3:$V$718,2,0),"")</f>
        <v>Sociální péče v domovech pro seniory a osoby se zdravotním postižením</v>
      </c>
      <c r="X373">
        <f>IF(ISNUMBER(SEARCH('1Př1'!$A$34,N373)),MAX($M$2:M372)+1,0)</f>
        <v>371</v>
      </c>
      <c r="Y373" s="287" t="s">
        <v>1794</v>
      </c>
      <c r="Z373" t="str">
        <f>IFERROR(VLOOKUP(ROWS($Z$3:Z373),$X$3:$Y$718,2,0),"")</f>
        <v>Sociální péče v domovech pro seniory a osoby se zdravotním postižením</v>
      </c>
    </row>
    <row r="374" spans="13:26">
      <c r="M374" s="286">
        <f>IF(ISNUMBER(SEARCH(ZAKL_DATA!$B$29,N374)),MAX($M$2:M373)+1,0)</f>
        <v>372</v>
      </c>
      <c r="N374" s="791" t="s">
        <v>3717</v>
      </c>
      <c r="O374" s="791" t="s">
        <v>3718</v>
      </c>
      <c r="Q374" s="288" t="str">
        <f>IFERROR(VLOOKUP(ROWS($Q$3:Q374),$M$3:$N$718,2,0),"")</f>
        <v>Specializovaný velkoobchod s ostatními potravinami</v>
      </c>
      <c r="R374">
        <f>IF(ISNUMBER(SEARCH('1Př1'!$A$32,N374)),MAX($M$2:M373)+1,0)</f>
        <v>372</v>
      </c>
      <c r="S374" s="287" t="s">
        <v>1795</v>
      </c>
      <c r="T374" t="str">
        <f>IFERROR(VLOOKUP(ROWS($T$3:T374),$R$3:$S$718,2,0),"")</f>
        <v>Ostatní pobytové služby sociální péče</v>
      </c>
      <c r="U374">
        <f>IF(ISNUMBER(SEARCH('1Př1'!$A$33,N374)),MAX($M$2:M373)+1,0)</f>
        <v>372</v>
      </c>
      <c r="V374" s="287" t="s">
        <v>1795</v>
      </c>
      <c r="W374" t="str">
        <f>IFERROR(VLOOKUP(ROWS($W$3:W374),$U$3:$V$718,2,0),"")</f>
        <v>Ostatní pobytové služby sociální péče</v>
      </c>
      <c r="X374">
        <f>IF(ISNUMBER(SEARCH('1Př1'!$A$34,N374)),MAX($M$2:M373)+1,0)</f>
        <v>372</v>
      </c>
      <c r="Y374" s="287" t="s">
        <v>1795</v>
      </c>
      <c r="Z374" t="str">
        <f>IFERROR(VLOOKUP(ROWS($Z$3:Z374),$X$3:$Y$718,2,0),"")</f>
        <v>Ostatní pobytové služby sociální péče</v>
      </c>
    </row>
    <row r="375" spans="13:26">
      <c r="M375" s="286">
        <f>IF(ISNUMBER(SEARCH(ZAKL_DATA!$B$29,N375)),MAX($M$2:M374)+1,0)</f>
        <v>373</v>
      </c>
      <c r="N375" s="791" t="s">
        <v>2177</v>
      </c>
      <c r="O375" s="791" t="s">
        <v>3719</v>
      </c>
      <c r="Q375" s="288" t="str">
        <f>IFERROR(VLOOKUP(ROWS($Q$3:Q375),$M$3:$N$718,2,0),"")</f>
        <v>Sportovní a rekreační vzdělávání</v>
      </c>
      <c r="R375">
        <f>IF(ISNUMBER(SEARCH('1Př1'!$A$32,N375)),MAX($M$2:M374)+1,0)</f>
        <v>373</v>
      </c>
      <c r="S375" s="287" t="s">
        <v>1796</v>
      </c>
      <c r="T375" t="str">
        <f>IFERROR(VLOOKUP(ROWS($T$3:T375),$R$3:$S$718,2,0),"")</f>
        <v>Ambulantní nebo terénní soc.služby pro seniory a osoby se zdrav.postižením</v>
      </c>
      <c r="U375">
        <f>IF(ISNUMBER(SEARCH('1Př1'!$A$33,N375)),MAX($M$2:M374)+1,0)</f>
        <v>373</v>
      </c>
      <c r="V375" s="287" t="s">
        <v>1796</v>
      </c>
      <c r="W375" t="str">
        <f>IFERROR(VLOOKUP(ROWS($W$3:W375),$U$3:$V$718,2,0),"")</f>
        <v>Ambulantní nebo terénní soc.služby pro seniory a osoby se zdrav.postižením</v>
      </c>
      <c r="X375">
        <f>IF(ISNUMBER(SEARCH('1Př1'!$A$34,N375)),MAX($M$2:M374)+1,0)</f>
        <v>373</v>
      </c>
      <c r="Y375" s="287" t="s">
        <v>1796</v>
      </c>
      <c r="Z375" t="str">
        <f>IFERROR(VLOOKUP(ROWS($Z$3:Z375),$X$3:$Y$718,2,0),"")</f>
        <v>Ambulantní nebo terénní soc.služby pro seniory a osoby se zdrav.postižením</v>
      </c>
    </row>
    <row r="376" spans="13:26">
      <c r="M376" s="286">
        <f>IF(ISNUMBER(SEARCH(ZAKL_DATA!$B$29,N376)),MAX($M$2:M375)+1,0)</f>
        <v>374</v>
      </c>
      <c r="N376" s="791" t="s">
        <v>1738</v>
      </c>
      <c r="O376" s="791" t="s">
        <v>3720</v>
      </c>
      <c r="Q376" s="288" t="str">
        <f>IFERROR(VLOOKUP(ROWS($Q$3:Q376),$M$3:$N$718,2,0),"")</f>
        <v>Správa fondů</v>
      </c>
      <c r="R376">
        <f>IF(ISNUMBER(SEARCH('1Př1'!$A$32,N376)),MAX($M$2:M375)+1,0)</f>
        <v>374</v>
      </c>
      <c r="S376" s="287" t="s">
        <v>1797</v>
      </c>
      <c r="T376" t="str">
        <f>IFERROR(VLOOKUP(ROWS($T$3:T376),$R$3:$S$718,2,0),"")</f>
        <v>Ostatní ambulantní nebo terénní sociální služby</v>
      </c>
      <c r="U376">
        <f>IF(ISNUMBER(SEARCH('1Př1'!$A$33,N376)),MAX($M$2:M375)+1,0)</f>
        <v>374</v>
      </c>
      <c r="V376" s="287" t="s">
        <v>1797</v>
      </c>
      <c r="W376" t="str">
        <f>IFERROR(VLOOKUP(ROWS($W$3:W376),$U$3:$V$718,2,0),"")</f>
        <v>Ostatní ambulantní nebo terénní sociální služby</v>
      </c>
      <c r="X376">
        <f>IF(ISNUMBER(SEARCH('1Př1'!$A$34,N376)),MAX($M$2:M375)+1,0)</f>
        <v>374</v>
      </c>
      <c r="Y376" s="287" t="s">
        <v>1797</v>
      </c>
      <c r="Z376" t="str">
        <f>IFERROR(VLOOKUP(ROWS($Z$3:Z376),$X$3:$Y$718,2,0),"")</f>
        <v>Ostatní ambulantní nebo terénní sociální služby</v>
      </c>
    </row>
    <row r="377" spans="13:26">
      <c r="M377" s="286">
        <f>IF(ISNUMBER(SEARCH(ZAKL_DATA!$B$29,N377)),MAX($M$2:M376)+1,0)</f>
        <v>375</v>
      </c>
      <c r="N377" s="791" t="s">
        <v>3721</v>
      </c>
      <c r="O377" s="791" t="s">
        <v>3722</v>
      </c>
      <c r="Q377" s="288" t="str">
        <f>IFERROR(VLOOKUP(ROWS($Q$3:Q377),$M$3:$N$718,2,0),"")</f>
        <v>Stavba civilních lodí a plavidel</v>
      </c>
      <c r="R377">
        <f>IF(ISNUMBER(SEARCH('1Př1'!$A$32,N377)),MAX($M$2:M376)+1,0)</f>
        <v>375</v>
      </c>
      <c r="S377" s="287" t="s">
        <v>1798</v>
      </c>
      <c r="T377" t="str">
        <f>IFERROR(VLOOKUP(ROWS($T$3:T377),$R$3:$S$718,2,0),"")</f>
        <v>Těžba chemických minerálů a minerálů pro výrobu hnojiv</v>
      </c>
      <c r="U377">
        <f>IF(ISNUMBER(SEARCH('1Př1'!$A$33,N377)),MAX($M$2:M376)+1,0)</f>
        <v>375</v>
      </c>
      <c r="V377" s="287" t="s">
        <v>1798</v>
      </c>
      <c r="W377" t="str">
        <f>IFERROR(VLOOKUP(ROWS($W$3:W377),$U$3:$V$718,2,0),"")</f>
        <v>Těžba chemických minerálů a minerálů pro výrobu hnojiv</v>
      </c>
      <c r="X377">
        <f>IF(ISNUMBER(SEARCH('1Př1'!$A$34,N377)),MAX($M$2:M376)+1,0)</f>
        <v>375</v>
      </c>
      <c r="Y377" s="287" t="s">
        <v>1798</v>
      </c>
      <c r="Z377" t="str">
        <f>IFERROR(VLOOKUP(ROWS($Z$3:Z377),$X$3:$Y$718,2,0),"")</f>
        <v>Těžba chemických minerálů a minerálů pro výrobu hnojiv</v>
      </c>
    </row>
    <row r="378" spans="13:26">
      <c r="M378" s="286">
        <f>IF(ISNUMBER(SEARCH(ZAKL_DATA!$B$29,N378)),MAX($M$2:M377)+1,0)</f>
        <v>376</v>
      </c>
      <c r="N378" s="791" t="s">
        <v>1981</v>
      </c>
      <c r="O378" s="791" t="s">
        <v>3723</v>
      </c>
      <c r="Q378" s="288" t="str">
        <f>IFERROR(VLOOKUP(ROWS($Q$3:Q378),$M$3:$N$718,2,0),"")</f>
        <v>Stavba rekreačních a sportovních člunů</v>
      </c>
      <c r="R378">
        <f>IF(ISNUMBER(SEARCH('1Př1'!$A$32,N378)),MAX($M$2:M377)+1,0)</f>
        <v>376</v>
      </c>
      <c r="S378" s="287" t="s">
        <v>1799</v>
      </c>
      <c r="T378" t="str">
        <f>IFERROR(VLOOKUP(ROWS($T$3:T378),$R$3:$S$718,2,0),"")</f>
        <v>Těžba rašeliny</v>
      </c>
      <c r="U378">
        <f>IF(ISNUMBER(SEARCH('1Př1'!$A$33,N378)),MAX($M$2:M377)+1,0)</f>
        <v>376</v>
      </c>
      <c r="V378" s="287" t="s">
        <v>1799</v>
      </c>
      <c r="W378" t="str">
        <f>IFERROR(VLOOKUP(ROWS($W$3:W378),$U$3:$V$718,2,0),"")</f>
        <v>Těžba rašeliny</v>
      </c>
      <c r="X378">
        <f>IF(ISNUMBER(SEARCH('1Př1'!$A$34,N378)),MAX($M$2:M377)+1,0)</f>
        <v>376</v>
      </c>
      <c r="Y378" s="287" t="s">
        <v>1799</v>
      </c>
      <c r="Z378" t="str">
        <f>IFERROR(VLOOKUP(ROWS($Z$3:Z378),$X$3:$Y$718,2,0),"")</f>
        <v>Těžba rašeliny</v>
      </c>
    </row>
    <row r="379" spans="13:26">
      <c r="M379" s="286">
        <f>IF(ISNUMBER(SEARCH(ZAKL_DATA!$B$29,N379)),MAX($M$2:M378)+1,0)</f>
        <v>377</v>
      </c>
      <c r="N379" s="791" t="s">
        <v>3724</v>
      </c>
      <c r="O379" s="791" t="s">
        <v>3725</v>
      </c>
      <c r="Q379" s="288" t="str">
        <f>IFERROR(VLOOKUP(ROWS($Q$3:Q379),$M$3:$N$718,2,0),"")</f>
        <v>Stavba vojenských lodí a plavidel</v>
      </c>
      <c r="R379">
        <f>IF(ISNUMBER(SEARCH('1Př1'!$A$32,N379)),MAX($M$2:M378)+1,0)</f>
        <v>377</v>
      </c>
      <c r="S379" s="287" t="s">
        <v>1800</v>
      </c>
      <c r="T379" t="str">
        <f>IFERROR(VLOOKUP(ROWS($T$3:T379),$R$3:$S$718,2,0),"")</f>
        <v>Těžba soli</v>
      </c>
      <c r="U379">
        <f>IF(ISNUMBER(SEARCH('1Př1'!$A$33,N379)),MAX($M$2:M378)+1,0)</f>
        <v>377</v>
      </c>
      <c r="V379" s="287" t="s">
        <v>1800</v>
      </c>
      <c r="W379" t="str">
        <f>IFERROR(VLOOKUP(ROWS($W$3:W379),$U$3:$V$718,2,0),"")</f>
        <v>Těžba soli</v>
      </c>
      <c r="X379">
        <f>IF(ISNUMBER(SEARCH('1Př1'!$A$34,N379)),MAX($M$2:M378)+1,0)</f>
        <v>377</v>
      </c>
      <c r="Y379" s="287" t="s">
        <v>1800</v>
      </c>
      <c r="Z379" t="str">
        <f>IFERROR(VLOOKUP(ROWS($Z$3:Z379),$X$3:$Y$718,2,0),"")</f>
        <v>Těžba soli</v>
      </c>
    </row>
    <row r="380" spans="13:26">
      <c r="M380" s="286">
        <f>IF(ISNUMBER(SEARCH(ZAKL_DATA!$B$29,N380)),MAX($M$2:M379)+1,0)</f>
        <v>378</v>
      </c>
      <c r="N380" s="791" t="s">
        <v>2127</v>
      </c>
      <c r="O380" s="791" t="s">
        <v>3726</v>
      </c>
      <c r="Q380" s="288" t="str">
        <f>IFERROR(VLOOKUP(ROWS($Q$3:Q380),$M$3:$N$718,2,0),"")</f>
        <v>Stěhovací služby</v>
      </c>
      <c r="R380">
        <f>IF(ISNUMBER(SEARCH('1Př1'!$A$32,N380)),MAX($M$2:M379)+1,0)</f>
        <v>378</v>
      </c>
      <c r="S380" s="287" t="s">
        <v>1801</v>
      </c>
      <c r="T380" t="str">
        <f>IFERROR(VLOOKUP(ROWS($T$3:T380),$R$3:$S$718,2,0),"")</f>
        <v>Ostatní těžba a dobývání j. n.</v>
      </c>
      <c r="U380">
        <f>IF(ISNUMBER(SEARCH('1Př1'!$A$33,N380)),MAX($M$2:M379)+1,0)</f>
        <v>378</v>
      </c>
      <c r="V380" s="287" t="s">
        <v>1801</v>
      </c>
      <c r="W380" t="str">
        <f>IFERROR(VLOOKUP(ROWS($W$3:W380),$U$3:$V$718,2,0),"")</f>
        <v>Ostatní těžba a dobývání j. n.</v>
      </c>
      <c r="X380">
        <f>IF(ISNUMBER(SEARCH('1Př1'!$A$34,N380)),MAX($M$2:M379)+1,0)</f>
        <v>378</v>
      </c>
      <c r="Y380" s="287" t="s">
        <v>1801</v>
      </c>
      <c r="Z380" t="str">
        <f>IFERROR(VLOOKUP(ROWS($Z$3:Z380),$X$3:$Y$718,2,0),"")</f>
        <v>Ostatní těžba a dobývání j. n.</v>
      </c>
    </row>
    <row r="381" spans="13:26">
      <c r="M381" s="286">
        <f>IF(ISNUMBER(SEARCH(ZAKL_DATA!$B$29,N381)),MAX($M$2:M380)+1,0)</f>
        <v>379</v>
      </c>
      <c r="N381" s="791" t="s">
        <v>1922</v>
      </c>
      <c r="O381" s="791" t="s">
        <v>3727</v>
      </c>
      <c r="Q381" s="288" t="str">
        <f>IFERROR(VLOOKUP(ROWS($Q$3:Q381),$M$3:$N$718,2,0),"")</f>
        <v>Tažení ocelového drátu za studena</v>
      </c>
      <c r="R381">
        <f>IF(ISNUMBER(SEARCH('1Př1'!$A$32,N381)),MAX($M$2:M380)+1,0)</f>
        <v>379</v>
      </c>
      <c r="S381" s="287" t="s">
        <v>1802</v>
      </c>
      <c r="T381" t="str">
        <f>IFERROR(VLOOKUP(ROWS($T$3:T381),$R$3:$S$718,2,0),"")</f>
        <v>Sportovní činnosti</v>
      </c>
      <c r="U381">
        <f>IF(ISNUMBER(SEARCH('1Př1'!$A$33,N381)),MAX($M$2:M380)+1,0)</f>
        <v>379</v>
      </c>
      <c r="V381" s="287" t="s">
        <v>1802</v>
      </c>
      <c r="W381" t="str">
        <f>IFERROR(VLOOKUP(ROWS($W$3:W381),$U$3:$V$718,2,0),"")</f>
        <v>Sportovní činnosti</v>
      </c>
      <c r="X381">
        <f>IF(ISNUMBER(SEARCH('1Př1'!$A$34,N381)),MAX($M$2:M380)+1,0)</f>
        <v>379</v>
      </c>
      <c r="Y381" s="287" t="s">
        <v>1802</v>
      </c>
      <c r="Z381" t="str">
        <f>IFERROR(VLOOKUP(ROWS($Z$3:Z381),$X$3:$Y$718,2,0),"")</f>
        <v>Sportovní činnosti</v>
      </c>
    </row>
    <row r="382" spans="13:26">
      <c r="M382" s="286">
        <f>IF(ISNUMBER(SEARCH(ZAKL_DATA!$B$29,N382)),MAX($M$2:M381)+1,0)</f>
        <v>380</v>
      </c>
      <c r="N382" s="791" t="s">
        <v>3728</v>
      </c>
      <c r="O382" s="791" t="s">
        <v>3729</v>
      </c>
      <c r="Q382" s="288" t="str">
        <f>IFERROR(VLOOKUP(ROWS($Q$3:Q382),$M$3:$N$718,2,0),"")</f>
        <v>Tažení ocelových tyčí za studena</v>
      </c>
      <c r="R382">
        <f>IF(ISNUMBER(SEARCH('1Př1'!$A$32,N382)),MAX($M$2:M381)+1,0)</f>
        <v>380</v>
      </c>
      <c r="S382" s="287" t="s">
        <v>1803</v>
      </c>
      <c r="T382" t="str">
        <f>IFERROR(VLOOKUP(ROWS($T$3:T382),$R$3:$S$718,2,0),"")</f>
        <v>Ostatní zábavní a rekreační činnosti</v>
      </c>
      <c r="U382">
        <f>IF(ISNUMBER(SEARCH('1Př1'!$A$33,N382)),MAX($M$2:M381)+1,0)</f>
        <v>380</v>
      </c>
      <c r="V382" s="287" t="s">
        <v>1803</v>
      </c>
      <c r="W382" t="str">
        <f>IFERROR(VLOOKUP(ROWS($W$3:W382),$U$3:$V$718,2,0),"")</f>
        <v>Ostatní zábavní a rekreační činnosti</v>
      </c>
      <c r="X382">
        <f>IF(ISNUMBER(SEARCH('1Př1'!$A$34,N382)),MAX($M$2:M381)+1,0)</f>
        <v>380</v>
      </c>
      <c r="Y382" s="287" t="s">
        <v>1803</v>
      </c>
      <c r="Z382" t="str">
        <f>IFERROR(VLOOKUP(ROWS($Z$3:Z382),$X$3:$Y$718,2,0),"")</f>
        <v>Ostatní zábavní a rekreační činnosti</v>
      </c>
    </row>
    <row r="383" spans="13:26">
      <c r="M383" s="286">
        <f>IF(ISNUMBER(SEARCH(ZAKL_DATA!$B$29,N383)),MAX($M$2:M382)+1,0)</f>
        <v>381</v>
      </c>
      <c r="N383" s="791" t="s">
        <v>1747</v>
      </c>
      <c r="O383" s="791" t="s">
        <v>3730</v>
      </c>
      <c r="Q383" s="288" t="str">
        <f>IFERROR(VLOOKUP(ROWS($Q$3:Q383),$M$3:$N$718,2,0),"")</f>
        <v>Technické zkoušky a analýzy</v>
      </c>
      <c r="R383">
        <f>IF(ISNUMBER(SEARCH('1Př1'!$A$32,N383)),MAX($M$2:M382)+1,0)</f>
        <v>381</v>
      </c>
      <c r="S383" s="287" t="s">
        <v>1804</v>
      </c>
      <c r="T383" t="str">
        <f>IFERROR(VLOOKUP(ROWS($T$3:T383),$R$3:$S$718,2,0),"")</f>
        <v>Činnosti podnikatelských, zaměstnavatelských a profesních organizací</v>
      </c>
      <c r="U383">
        <f>IF(ISNUMBER(SEARCH('1Př1'!$A$33,N383)),MAX($M$2:M382)+1,0)</f>
        <v>381</v>
      </c>
      <c r="V383" s="287" t="s">
        <v>1804</v>
      </c>
      <c r="W383" t="str">
        <f>IFERROR(VLOOKUP(ROWS($W$3:W383),$U$3:$V$718,2,0),"")</f>
        <v>Činnosti podnikatelských, zaměstnavatelských a profesních organizací</v>
      </c>
      <c r="X383">
        <f>IF(ISNUMBER(SEARCH('1Př1'!$A$34,N383)),MAX($M$2:M382)+1,0)</f>
        <v>381</v>
      </c>
      <c r="Y383" s="287" t="s">
        <v>1804</v>
      </c>
      <c r="Z383" t="str">
        <f>IFERROR(VLOOKUP(ROWS($Z$3:Z383),$X$3:$Y$718,2,0),"")</f>
        <v>Činnosti podnikatelských, zaměstnavatelských a profesních organizací</v>
      </c>
    </row>
    <row r="384" spans="13:26">
      <c r="M384" s="286">
        <f>IF(ISNUMBER(SEARCH(ZAKL_DATA!$B$29,N384)),MAX($M$2:M383)+1,0)</f>
        <v>382</v>
      </c>
      <c r="N384" s="791" t="s">
        <v>3731</v>
      </c>
      <c r="O384" s="791" t="s">
        <v>3732</v>
      </c>
      <c r="Q384" s="288" t="str">
        <f>IFERROR(VLOOKUP(ROWS($Q$3:Q384),$M$3:$N$718,2,0),"")</f>
        <v>Tepelné zpracování kovů</v>
      </c>
      <c r="R384">
        <f>IF(ISNUMBER(SEARCH('1Př1'!$A$32,N384)),MAX($M$2:M383)+1,0)</f>
        <v>382</v>
      </c>
      <c r="S384" s="287" t="s">
        <v>1805</v>
      </c>
      <c r="T384" t="str">
        <f>IFERROR(VLOOKUP(ROWS($T$3:T384),$R$3:$S$718,2,0),"")</f>
        <v>Činnosti odborových svazů</v>
      </c>
      <c r="U384">
        <f>IF(ISNUMBER(SEARCH('1Př1'!$A$33,N384)),MAX($M$2:M383)+1,0)</f>
        <v>382</v>
      </c>
      <c r="V384" s="287" t="s">
        <v>1805</v>
      </c>
      <c r="W384" t="str">
        <f>IFERROR(VLOOKUP(ROWS($W$3:W384),$U$3:$V$718,2,0),"")</f>
        <v>Činnosti odborových svazů</v>
      </c>
      <c r="X384">
        <f>IF(ISNUMBER(SEARCH('1Př1'!$A$34,N384)),MAX($M$2:M383)+1,0)</f>
        <v>382</v>
      </c>
      <c r="Y384" s="287" t="s">
        <v>1805</v>
      </c>
      <c r="Z384" t="str">
        <f>IFERROR(VLOOKUP(ROWS($Z$3:Z384),$X$3:$Y$718,2,0),"")</f>
        <v>Činnosti odborových svazů</v>
      </c>
    </row>
    <row r="385" spans="13:26" ht="25.5">
      <c r="M385" s="286">
        <f>IF(ISNUMBER(SEARCH(ZAKL_DATA!$B$29,N385)),MAX($M$2:M384)+1,0)</f>
        <v>383</v>
      </c>
      <c r="N385" s="791" t="s">
        <v>3733</v>
      </c>
      <c r="O385" s="791" t="s">
        <v>3734</v>
      </c>
      <c r="Q385" s="288" t="str">
        <f>IFERROR(VLOOKUP(ROWS($Q$3:Q385),$M$3:$N$718,2,0),"")</f>
        <v>Terciární vzdělávání v jiných než uměleckých oborech</v>
      </c>
      <c r="R385">
        <f>IF(ISNUMBER(SEARCH('1Př1'!$A$32,N385)),MAX($M$2:M384)+1,0)</f>
        <v>383</v>
      </c>
      <c r="S385" s="287" t="s">
        <v>1806</v>
      </c>
      <c r="T385" t="str">
        <f>IFERROR(VLOOKUP(ROWS($T$3:T385),$R$3:$S$718,2,0),"")</f>
        <v>Činnosti ost.org.sdružujících osoby za účelem prosazování společných zájmů</v>
      </c>
      <c r="U385">
        <f>IF(ISNUMBER(SEARCH('1Př1'!$A$33,N385)),MAX($M$2:M384)+1,0)</f>
        <v>383</v>
      </c>
      <c r="V385" s="287" t="s">
        <v>1806</v>
      </c>
      <c r="W385" t="str">
        <f>IFERROR(VLOOKUP(ROWS($W$3:W385),$U$3:$V$718,2,0),"")</f>
        <v>Činnosti ost.org.sdružujících osoby za účelem prosazování společných zájmů</v>
      </c>
      <c r="X385">
        <f>IF(ISNUMBER(SEARCH('1Př1'!$A$34,N385)),MAX($M$2:M384)+1,0)</f>
        <v>383</v>
      </c>
      <c r="Y385" s="287" t="s">
        <v>1806</v>
      </c>
      <c r="Z385" t="str">
        <f>IFERROR(VLOOKUP(ROWS($Z$3:Z385),$X$3:$Y$718,2,0),"")</f>
        <v>Činnosti ost.org.sdružujících osoby za účelem prosazování společných zájmů</v>
      </c>
    </row>
    <row r="386" spans="13:26">
      <c r="M386" s="286">
        <f>IF(ISNUMBER(SEARCH(ZAKL_DATA!$B$29,N386)),MAX($M$2:M385)+1,0)</f>
        <v>384</v>
      </c>
      <c r="N386" s="791" t="s">
        <v>3735</v>
      </c>
      <c r="O386" s="791" t="s">
        <v>3736</v>
      </c>
      <c r="Q386" s="288" t="str">
        <f>IFERROR(VLOOKUP(ROWS($Q$3:Q386),$M$3:$N$718,2,0),"")</f>
        <v>Terciární vzdělávání v uměleckých oborech</v>
      </c>
      <c r="R386">
        <f>IF(ISNUMBER(SEARCH('1Př1'!$A$32,N386)),MAX($M$2:M385)+1,0)</f>
        <v>384</v>
      </c>
      <c r="S386" s="287" t="s">
        <v>1807</v>
      </c>
      <c r="T386" t="str">
        <f>IFERROR(VLOOKUP(ROWS($T$3:T386),$R$3:$S$718,2,0),"")</f>
        <v>Opravy počítačů a komunikačních zařízení</v>
      </c>
      <c r="U386">
        <f>IF(ISNUMBER(SEARCH('1Př1'!$A$33,N386)),MAX($M$2:M385)+1,0)</f>
        <v>384</v>
      </c>
      <c r="V386" s="287" t="s">
        <v>1807</v>
      </c>
      <c r="W386" t="str">
        <f>IFERROR(VLOOKUP(ROWS($W$3:W386),$U$3:$V$718,2,0),"")</f>
        <v>Opravy počítačů a komunikačních zařízení</v>
      </c>
      <c r="X386">
        <f>IF(ISNUMBER(SEARCH('1Př1'!$A$34,N386)),MAX($M$2:M385)+1,0)</f>
        <v>384</v>
      </c>
      <c r="Y386" s="287" t="s">
        <v>1807</v>
      </c>
      <c r="Z386" t="str">
        <f>IFERROR(VLOOKUP(ROWS($Z$3:Z386),$X$3:$Y$718,2,0),"")</f>
        <v>Opravy počítačů a komunikačních zařízení</v>
      </c>
    </row>
    <row r="387" spans="13:26">
      <c r="M387" s="286">
        <f>IF(ISNUMBER(SEARCH(ZAKL_DATA!$B$29,N387)),MAX($M$2:M386)+1,0)</f>
        <v>385</v>
      </c>
      <c r="N387" s="791" t="s">
        <v>3737</v>
      </c>
      <c r="O387" s="791" t="s">
        <v>3738</v>
      </c>
      <c r="Q387" s="288" t="str">
        <f>IFERROR(VLOOKUP(ROWS($Q$3:Q387),$M$3:$N$718,2,0),"")</f>
        <v>Těžba a dobývání ostatních nerostných surovin j. n.</v>
      </c>
      <c r="R387">
        <f>IF(ISNUMBER(SEARCH('1Př1'!$A$32,N387)),MAX($M$2:M386)+1,0)</f>
        <v>385</v>
      </c>
      <c r="S387" s="287" t="s">
        <v>1808</v>
      </c>
      <c r="T387" t="str">
        <f>IFERROR(VLOOKUP(ROWS($T$3:T387),$R$3:$S$718,2,0),"")</f>
        <v>Opravy výrobků pro osobní potřebu a převážně pro domácnost</v>
      </c>
      <c r="U387">
        <f>IF(ISNUMBER(SEARCH('1Př1'!$A$33,N387)),MAX($M$2:M386)+1,0)</f>
        <v>385</v>
      </c>
      <c r="V387" s="287" t="s">
        <v>1808</v>
      </c>
      <c r="W387" t="str">
        <f>IFERROR(VLOOKUP(ROWS($W$3:W387),$U$3:$V$718,2,0),"")</f>
        <v>Opravy výrobků pro osobní potřebu a převážně pro domácnost</v>
      </c>
      <c r="X387">
        <f>IF(ISNUMBER(SEARCH('1Př1'!$A$34,N387)),MAX($M$2:M386)+1,0)</f>
        <v>385</v>
      </c>
      <c r="Y387" s="287" t="s">
        <v>1808</v>
      </c>
      <c r="Z387" t="str">
        <f>IFERROR(VLOOKUP(ROWS($Z$3:Z387),$X$3:$Y$718,2,0),"")</f>
        <v>Opravy výrobků pro osobní potřebu a převážně pro domácnost</v>
      </c>
    </row>
    <row r="388" spans="13:26">
      <c r="M388" s="286">
        <f>IF(ISNUMBER(SEARCH(ZAKL_DATA!$B$29,N388)),MAX($M$2:M387)+1,0)</f>
        <v>386</v>
      </c>
      <c r="N388" s="791" t="s">
        <v>3739</v>
      </c>
      <c r="O388" s="791" t="s">
        <v>3740</v>
      </c>
      <c r="Q388" s="288" t="str">
        <f>IFERROR(VLOOKUP(ROWS($Q$3:Q388),$M$3:$N$718,2,0),"")</f>
        <v>Těžba černého uhlí, kromě úpravy</v>
      </c>
      <c r="R388">
        <f>IF(ISNUMBER(SEARCH('1Př1'!$A$32,N388)),MAX($M$2:M387)+1,0)</f>
        <v>386</v>
      </c>
      <c r="S388" s="287" t="s">
        <v>1809</v>
      </c>
      <c r="T388" t="str">
        <f>IFERROR(VLOOKUP(ROWS($T$3:T388),$R$3:$S$718,2,0),"")</f>
        <v>Činnosti domác.produk.blíže neurčené výrobky pro vlastní potřebu</v>
      </c>
      <c r="U388">
        <f>IF(ISNUMBER(SEARCH('1Př1'!$A$33,N388)),MAX($M$2:M387)+1,0)</f>
        <v>386</v>
      </c>
      <c r="V388" s="287" t="s">
        <v>1809</v>
      </c>
      <c r="W388" t="str">
        <f>IFERROR(VLOOKUP(ROWS($W$3:W388),$U$3:$V$718,2,0),"")</f>
        <v>Činnosti domác.produk.blíže neurčené výrobky pro vlastní potřebu</v>
      </c>
      <c r="X388">
        <f>IF(ISNUMBER(SEARCH('1Př1'!$A$34,N388)),MAX($M$2:M387)+1,0)</f>
        <v>386</v>
      </c>
      <c r="Y388" s="287" t="s">
        <v>1809</v>
      </c>
      <c r="Z388" t="str">
        <f>IFERROR(VLOOKUP(ROWS($Z$3:Z388),$X$3:$Y$718,2,0),"")</f>
        <v>Činnosti domác.produk.blíže neurčené výrobky pro vlastní potřebu</v>
      </c>
    </row>
    <row r="389" spans="13:26">
      <c r="M389" s="286">
        <f>IF(ISNUMBER(SEARCH(ZAKL_DATA!$B$29,N389)),MAX($M$2:M388)+1,0)</f>
        <v>387</v>
      </c>
      <c r="N389" s="791" t="s">
        <v>843</v>
      </c>
      <c r="O389" s="791" t="s">
        <v>3741</v>
      </c>
      <c r="Q389" s="288" t="str">
        <f>IFERROR(VLOOKUP(ROWS($Q$3:Q389),$M$3:$N$718,2,0),"")</f>
        <v>Těžba dřeva</v>
      </c>
      <c r="R389">
        <f>IF(ISNUMBER(SEARCH('1Př1'!$A$32,N389)),MAX($M$2:M388)+1,0)</f>
        <v>387</v>
      </c>
      <c r="S389" s="287" t="s">
        <v>1810</v>
      </c>
      <c r="T389" t="str">
        <f>IFERROR(VLOOKUP(ROWS($T$3:T389),$R$3:$S$718,2,0),"")</f>
        <v>Činnosti domácností poskyt.blíže neurčené služby pro vlastní potřebu</v>
      </c>
      <c r="U389">
        <f>IF(ISNUMBER(SEARCH('1Př1'!$A$33,N389)),MAX($M$2:M388)+1,0)</f>
        <v>387</v>
      </c>
      <c r="V389" s="287" t="s">
        <v>1810</v>
      </c>
      <c r="W389" t="str">
        <f>IFERROR(VLOOKUP(ROWS($W$3:W389),$U$3:$V$718,2,0),"")</f>
        <v>Činnosti domácností poskyt.blíže neurčené služby pro vlastní potřebu</v>
      </c>
      <c r="X389">
        <f>IF(ISNUMBER(SEARCH('1Př1'!$A$34,N389)),MAX($M$2:M388)+1,0)</f>
        <v>387</v>
      </c>
      <c r="Y389" s="287" t="s">
        <v>1810</v>
      </c>
      <c r="Z389" t="str">
        <f>IFERROR(VLOOKUP(ROWS($Z$3:Z389),$X$3:$Y$718,2,0),"")</f>
        <v>Činnosti domácností poskyt.blíže neurčené služby pro vlastní potřebu</v>
      </c>
    </row>
    <row r="390" spans="13:26">
      <c r="M390" s="286">
        <f>IF(ISNUMBER(SEARCH(ZAKL_DATA!$B$29,N390)),MAX($M$2:M389)+1,0)</f>
        <v>388</v>
      </c>
      <c r="N390" s="791" t="s">
        <v>3742</v>
      </c>
      <c r="O390" s="791" t="s">
        <v>3743</v>
      </c>
      <c r="Q390" s="288" t="str">
        <f>IFERROR(VLOOKUP(ROWS($Q$3:Q390),$M$3:$N$718,2,0),"")</f>
        <v>Těžba hnědého uhlí jiného než lignitu, kromě úpravy</v>
      </c>
      <c r="R390">
        <f>IF(ISNUMBER(SEARCH('1Př1'!$A$32,N390)),MAX($M$2:M389)+1,0)</f>
        <v>388</v>
      </c>
      <c r="S390" s="287" t="s">
        <v>1811</v>
      </c>
      <c r="T390" t="str">
        <f>IFERROR(VLOOKUP(ROWS($T$3:T390),$R$3:$S$718,2,0),"")</f>
        <v>Zpracování a konzervování masa, kromě drůbežího</v>
      </c>
      <c r="U390">
        <f>IF(ISNUMBER(SEARCH('1Př1'!$A$33,N390)),MAX($M$2:M389)+1,0)</f>
        <v>388</v>
      </c>
      <c r="V390" s="287" t="s">
        <v>1811</v>
      </c>
      <c r="W390" t="str">
        <f>IFERROR(VLOOKUP(ROWS($W$3:W390),$U$3:$V$718,2,0),"")</f>
        <v>Zpracování a konzervování masa, kromě drůbežího</v>
      </c>
      <c r="X390">
        <f>IF(ISNUMBER(SEARCH('1Př1'!$A$34,N390)),MAX($M$2:M389)+1,0)</f>
        <v>388</v>
      </c>
      <c r="Y390" s="287" t="s">
        <v>1811</v>
      </c>
      <c r="Z390" t="str">
        <f>IFERROR(VLOOKUP(ROWS($Z$3:Z390),$X$3:$Y$718,2,0),"")</f>
        <v>Zpracování a konzervování masa, kromě drůbežího</v>
      </c>
    </row>
    <row r="391" spans="13:26" ht="25.5">
      <c r="M391" s="286">
        <f>IF(ISNUMBER(SEARCH(ZAKL_DATA!$B$29,N391)),MAX($M$2:M390)+1,0)</f>
        <v>389</v>
      </c>
      <c r="N391" s="791" t="s">
        <v>1798</v>
      </c>
      <c r="O391" s="791" t="s">
        <v>3744</v>
      </c>
      <c r="Q391" s="288" t="str">
        <f>IFERROR(VLOOKUP(ROWS($Q$3:Q391),$M$3:$N$718,2,0),"")</f>
        <v>Těžba chemických minerálů a minerálů pro výrobu hnojiv</v>
      </c>
      <c r="R391">
        <f>IF(ISNUMBER(SEARCH('1Př1'!$A$32,N391)),MAX($M$2:M390)+1,0)</f>
        <v>389</v>
      </c>
      <c r="S391" s="287" t="s">
        <v>1812</v>
      </c>
      <c r="T391" t="str">
        <f>IFERROR(VLOOKUP(ROWS($T$3:T391),$R$3:$S$718,2,0),"")</f>
        <v>Zpracování a konzervování drůbežího masa</v>
      </c>
      <c r="U391">
        <f>IF(ISNUMBER(SEARCH('1Př1'!$A$33,N391)),MAX($M$2:M390)+1,0)</f>
        <v>389</v>
      </c>
      <c r="V391" s="287" t="s">
        <v>1812</v>
      </c>
      <c r="W391" t="str">
        <f>IFERROR(VLOOKUP(ROWS($W$3:W391),$U$3:$V$718,2,0),"")</f>
        <v>Zpracování a konzervování drůbežího masa</v>
      </c>
      <c r="X391">
        <f>IF(ISNUMBER(SEARCH('1Př1'!$A$34,N391)),MAX($M$2:M390)+1,0)</f>
        <v>389</v>
      </c>
      <c r="Y391" s="287" t="s">
        <v>1812</v>
      </c>
      <c r="Z391" t="str">
        <f>IFERROR(VLOOKUP(ROWS($Z$3:Z391),$X$3:$Y$718,2,0),"")</f>
        <v>Zpracování a konzervování drůbežího masa</v>
      </c>
    </row>
    <row r="392" spans="13:26">
      <c r="M392" s="286">
        <f>IF(ISNUMBER(SEARCH(ZAKL_DATA!$B$29,N392)),MAX($M$2:M391)+1,0)</f>
        <v>390</v>
      </c>
      <c r="N392" s="791" t="s">
        <v>3745</v>
      </c>
      <c r="O392" s="791" t="s">
        <v>3746</v>
      </c>
      <c r="Q392" s="288" t="str">
        <f>IFERROR(VLOOKUP(ROWS($Q$3:Q392),$M$3:$N$718,2,0),"")</f>
        <v>Těžba lignitu, kromě úpravy</v>
      </c>
      <c r="R392">
        <f>IF(ISNUMBER(SEARCH('1Př1'!$A$32,N392)),MAX($M$2:M391)+1,0)</f>
        <v>390</v>
      </c>
      <c r="S392" s="287" t="s">
        <v>1813</v>
      </c>
      <c r="T392" t="str">
        <f>IFERROR(VLOOKUP(ROWS($T$3:T392),$R$3:$S$718,2,0),"")</f>
        <v>Výroba masných výrobků a výrobků z drůbežího masa</v>
      </c>
      <c r="U392">
        <f>IF(ISNUMBER(SEARCH('1Př1'!$A$33,N392)),MAX($M$2:M391)+1,0)</f>
        <v>390</v>
      </c>
      <c r="V392" s="287" t="s">
        <v>1813</v>
      </c>
      <c r="W392" t="str">
        <f>IFERROR(VLOOKUP(ROWS($W$3:W392),$U$3:$V$718,2,0),"")</f>
        <v>Výroba masných výrobků a výrobků z drůbežího masa</v>
      </c>
      <c r="X392">
        <f>IF(ISNUMBER(SEARCH('1Př1'!$A$34,N392)),MAX($M$2:M391)+1,0)</f>
        <v>390</v>
      </c>
      <c r="Y392" s="287" t="s">
        <v>1813</v>
      </c>
      <c r="Z392" t="str">
        <f>IFERROR(VLOOKUP(ROWS($Z$3:Z392),$X$3:$Y$718,2,0),"")</f>
        <v>Výroba masných výrobků a výrobků z drůbežího masa</v>
      </c>
    </row>
    <row r="393" spans="13:26">
      <c r="M393" s="286">
        <f>IF(ISNUMBER(SEARCH(ZAKL_DATA!$B$29,N393)),MAX($M$2:M392)+1,0)</f>
        <v>391</v>
      </c>
      <c r="N393" s="791" t="s">
        <v>3747</v>
      </c>
      <c r="O393" s="791" t="s">
        <v>3748</v>
      </c>
      <c r="Q393" s="288" t="str">
        <f>IFERROR(VLOOKUP(ROWS($Q$3:Q393),$M$3:$N$718,2,0),"")</f>
        <v>Těžba ostatních neželezných rud, kromě úpravy</v>
      </c>
      <c r="R393">
        <f>IF(ISNUMBER(SEARCH('1Př1'!$A$32,N393)),MAX($M$2:M392)+1,0)</f>
        <v>391</v>
      </c>
      <c r="S393" s="287" t="s">
        <v>1814</v>
      </c>
      <c r="T393" t="str">
        <f>IFERROR(VLOOKUP(ROWS($T$3:T393),$R$3:$S$718,2,0),"")</f>
        <v>Zpracování a konzervování brambor</v>
      </c>
      <c r="U393">
        <f>IF(ISNUMBER(SEARCH('1Př1'!$A$33,N393)),MAX($M$2:M392)+1,0)</f>
        <v>391</v>
      </c>
      <c r="V393" s="287" t="s">
        <v>1814</v>
      </c>
      <c r="W393" t="str">
        <f>IFERROR(VLOOKUP(ROWS($W$3:W393),$U$3:$V$718,2,0),"")</f>
        <v>Zpracování a konzervování brambor</v>
      </c>
      <c r="X393">
        <f>IF(ISNUMBER(SEARCH('1Př1'!$A$34,N393)),MAX($M$2:M392)+1,0)</f>
        <v>391</v>
      </c>
      <c r="Y393" s="287" t="s">
        <v>1814</v>
      </c>
      <c r="Z393" t="str">
        <f>IFERROR(VLOOKUP(ROWS($Z$3:Z393),$X$3:$Y$718,2,0),"")</f>
        <v>Zpracování a konzervování brambor</v>
      </c>
    </row>
    <row r="394" spans="13:26">
      <c r="M394" s="286">
        <f>IF(ISNUMBER(SEARCH(ZAKL_DATA!$B$29,N394)),MAX($M$2:M393)+1,0)</f>
        <v>392</v>
      </c>
      <c r="N394" s="791" t="s">
        <v>1799</v>
      </c>
      <c r="O394" s="791" t="s">
        <v>3749</v>
      </c>
      <c r="Q394" s="288" t="str">
        <f>IFERROR(VLOOKUP(ROWS($Q$3:Q394),$M$3:$N$718,2,0),"")</f>
        <v>Těžba rašeliny</v>
      </c>
      <c r="R394">
        <f>IF(ISNUMBER(SEARCH('1Př1'!$A$32,N394)),MAX($M$2:M393)+1,0)</f>
        <v>392</v>
      </c>
      <c r="S394" s="287" t="s">
        <v>1815</v>
      </c>
      <c r="T394" t="str">
        <f>IFERROR(VLOOKUP(ROWS($T$3:T394),$R$3:$S$718,2,0),"")</f>
        <v>Výroba ovocných a zeleninových šťáv</v>
      </c>
      <c r="U394">
        <f>IF(ISNUMBER(SEARCH('1Př1'!$A$33,N394)),MAX($M$2:M393)+1,0)</f>
        <v>392</v>
      </c>
      <c r="V394" s="287" t="s">
        <v>1815</v>
      </c>
      <c r="W394" t="str">
        <f>IFERROR(VLOOKUP(ROWS($W$3:W394),$U$3:$V$718,2,0),"")</f>
        <v>Výroba ovocných a zeleninových šťáv</v>
      </c>
      <c r="X394">
        <f>IF(ISNUMBER(SEARCH('1Př1'!$A$34,N394)),MAX($M$2:M393)+1,0)</f>
        <v>392</v>
      </c>
      <c r="Y394" s="287" t="s">
        <v>1815</v>
      </c>
      <c r="Z394" t="str">
        <f>IFERROR(VLOOKUP(ROWS($Z$3:Z394),$X$3:$Y$718,2,0),"")</f>
        <v>Výroba ovocných a zeleninových šťáv</v>
      </c>
    </row>
    <row r="395" spans="13:26">
      <c r="M395" s="286">
        <f>IF(ISNUMBER(SEARCH(ZAKL_DATA!$B$29,N395)),MAX($M$2:M394)+1,0)</f>
        <v>393</v>
      </c>
      <c r="N395" s="791" t="s">
        <v>1001</v>
      </c>
      <c r="O395" s="791" t="s">
        <v>3750</v>
      </c>
      <c r="Q395" s="288" t="str">
        <f>IFERROR(VLOOKUP(ROWS($Q$3:Q395),$M$3:$N$718,2,0),"")</f>
        <v>Těžba ropy</v>
      </c>
      <c r="R395">
        <f>IF(ISNUMBER(SEARCH('1Př1'!$A$32,N395)),MAX($M$2:M394)+1,0)</f>
        <v>393</v>
      </c>
      <c r="S395" s="287" t="s">
        <v>1816</v>
      </c>
      <c r="T395" t="str">
        <f>IFERROR(VLOOKUP(ROWS($T$3:T395),$R$3:$S$718,2,0),"")</f>
        <v>Ostatní zpracování a konzervování ovoce a zeleniny</v>
      </c>
      <c r="U395">
        <f>IF(ISNUMBER(SEARCH('1Př1'!$A$33,N395)),MAX($M$2:M394)+1,0)</f>
        <v>393</v>
      </c>
      <c r="V395" s="287" t="s">
        <v>1816</v>
      </c>
      <c r="W395" t="str">
        <f>IFERROR(VLOOKUP(ROWS($W$3:W395),$U$3:$V$718,2,0),"")</f>
        <v>Ostatní zpracování a konzervování ovoce a zeleniny</v>
      </c>
      <c r="X395">
        <f>IF(ISNUMBER(SEARCH('1Př1'!$A$34,N395)),MAX($M$2:M394)+1,0)</f>
        <v>393</v>
      </c>
      <c r="Y395" s="287" t="s">
        <v>1816</v>
      </c>
      <c r="Z395" t="str">
        <f>IFERROR(VLOOKUP(ROWS($Z$3:Z395),$X$3:$Y$718,2,0),"")</f>
        <v>Ostatní zpracování a konzervování ovoce a zeleniny</v>
      </c>
    </row>
    <row r="396" spans="13:26">
      <c r="M396" s="286">
        <f>IF(ISNUMBER(SEARCH(ZAKL_DATA!$B$29,N396)),MAX($M$2:M395)+1,0)</f>
        <v>394</v>
      </c>
      <c r="N396" s="791" t="s">
        <v>1800</v>
      </c>
      <c r="O396" s="791" t="s">
        <v>3751</v>
      </c>
      <c r="Q396" s="288" t="str">
        <f>IFERROR(VLOOKUP(ROWS($Q$3:Q396),$M$3:$N$718,2,0),"")</f>
        <v>Těžba soli</v>
      </c>
      <c r="R396">
        <f>IF(ISNUMBER(SEARCH('1Př1'!$A$32,N396)),MAX($M$2:M395)+1,0)</f>
        <v>394</v>
      </c>
      <c r="S396" s="287" t="s">
        <v>1817</v>
      </c>
      <c r="T396" t="str">
        <f>IFERROR(VLOOKUP(ROWS($T$3:T396),$R$3:$S$718,2,0),"")</f>
        <v>Výroba olejů a tuků</v>
      </c>
      <c r="U396">
        <f>IF(ISNUMBER(SEARCH('1Př1'!$A$33,N396)),MAX($M$2:M395)+1,0)</f>
        <v>394</v>
      </c>
      <c r="V396" s="287" t="s">
        <v>1817</v>
      </c>
      <c r="W396" t="str">
        <f>IFERROR(VLOOKUP(ROWS($W$3:W396),$U$3:$V$718,2,0),"")</f>
        <v>Výroba olejů a tuků</v>
      </c>
      <c r="X396">
        <f>IF(ISNUMBER(SEARCH('1Př1'!$A$34,N396)),MAX($M$2:M395)+1,0)</f>
        <v>394</v>
      </c>
      <c r="Y396" s="287" t="s">
        <v>1817</v>
      </c>
      <c r="Z396" t="str">
        <f>IFERROR(VLOOKUP(ROWS($Z$3:Z396),$X$3:$Y$718,2,0),"")</f>
        <v>Výroba olejů a tuků</v>
      </c>
    </row>
    <row r="397" spans="13:26">
      <c r="M397" s="286">
        <f>IF(ISNUMBER(SEARCH(ZAKL_DATA!$B$29,N397)),MAX($M$2:M396)+1,0)</f>
        <v>395</v>
      </c>
      <c r="N397" s="791" t="s">
        <v>3752</v>
      </c>
      <c r="O397" s="791" t="s">
        <v>3753</v>
      </c>
      <c r="Q397" s="288" t="str">
        <f>IFERROR(VLOOKUP(ROWS($Q$3:Q397),$M$3:$N$718,2,0),"")</f>
        <v>Těžba uranových a thoriových rud, kromě úpravy</v>
      </c>
      <c r="R397">
        <f>IF(ISNUMBER(SEARCH('1Př1'!$A$32,N397)),MAX($M$2:M396)+1,0)</f>
        <v>395</v>
      </c>
      <c r="S397" s="287" t="s">
        <v>1818</v>
      </c>
      <c r="T397" t="str">
        <f>IFERROR(VLOOKUP(ROWS($T$3:T397),$R$3:$S$718,2,0),"")</f>
        <v>Výroba margarínu a podobných jedlých tuků</v>
      </c>
      <c r="U397">
        <f>IF(ISNUMBER(SEARCH('1Př1'!$A$33,N397)),MAX($M$2:M396)+1,0)</f>
        <v>395</v>
      </c>
      <c r="V397" s="287" t="s">
        <v>1818</v>
      </c>
      <c r="W397" t="str">
        <f>IFERROR(VLOOKUP(ROWS($W$3:W397),$U$3:$V$718,2,0),"")</f>
        <v>Výroba margarínu a podobných jedlých tuků</v>
      </c>
      <c r="X397">
        <f>IF(ISNUMBER(SEARCH('1Př1'!$A$34,N397)),MAX($M$2:M396)+1,0)</f>
        <v>395</v>
      </c>
      <c r="Y397" s="287" t="s">
        <v>1818</v>
      </c>
      <c r="Z397" t="str">
        <f>IFERROR(VLOOKUP(ROWS($Z$3:Z397),$X$3:$Y$718,2,0),"")</f>
        <v>Výroba margarínu a podobných jedlých tuků</v>
      </c>
    </row>
    <row r="398" spans="13:26">
      <c r="M398" s="286">
        <f>IF(ISNUMBER(SEARCH(ZAKL_DATA!$B$29,N398)),MAX($M$2:M397)+1,0)</f>
        <v>396</v>
      </c>
      <c r="N398" s="791" t="s">
        <v>1009</v>
      </c>
      <c r="O398" s="791" t="s">
        <v>3754</v>
      </c>
      <c r="Q398" s="288" t="str">
        <f>IFERROR(VLOOKUP(ROWS($Q$3:Q398),$M$3:$N$718,2,0),"")</f>
        <v>Těžba zemního plynu</v>
      </c>
      <c r="R398">
        <f>IF(ISNUMBER(SEARCH('1Př1'!$A$32,N398)),MAX($M$2:M397)+1,0)</f>
        <v>396</v>
      </c>
      <c r="S398" s="287" t="s">
        <v>1819</v>
      </c>
      <c r="T398" t="str">
        <f>IFERROR(VLOOKUP(ROWS($T$3:T398),$R$3:$S$718,2,0),"")</f>
        <v>Zpracování mléka, výroba mléčných výrobků a sýrů</v>
      </c>
      <c r="U398">
        <f>IF(ISNUMBER(SEARCH('1Př1'!$A$33,N398)),MAX($M$2:M397)+1,0)</f>
        <v>396</v>
      </c>
      <c r="V398" s="287" t="s">
        <v>1819</v>
      </c>
      <c r="W398" t="str">
        <f>IFERROR(VLOOKUP(ROWS($W$3:W398),$U$3:$V$718,2,0),"")</f>
        <v>Zpracování mléka, výroba mléčných výrobků a sýrů</v>
      </c>
      <c r="X398">
        <f>IF(ISNUMBER(SEARCH('1Př1'!$A$34,N398)),MAX($M$2:M397)+1,0)</f>
        <v>396</v>
      </c>
      <c r="Y398" s="287" t="s">
        <v>1819</v>
      </c>
      <c r="Z398" t="str">
        <f>IFERROR(VLOOKUP(ROWS($Z$3:Z398),$X$3:$Y$718,2,0),"")</f>
        <v>Zpracování mléka, výroba mléčných výrobků a sýrů</v>
      </c>
    </row>
    <row r="399" spans="13:26">
      <c r="M399" s="286">
        <f>IF(ISNUMBER(SEARCH(ZAKL_DATA!$B$29,N399)),MAX($M$2:M398)+1,0)</f>
        <v>397</v>
      </c>
      <c r="N399" s="791" t="s">
        <v>3755</v>
      </c>
      <c r="O399" s="791" t="s">
        <v>3756</v>
      </c>
      <c r="Q399" s="288" t="str">
        <f>IFERROR(VLOOKUP(ROWS($Q$3:Q399),$M$3:$N$718,2,0),"")</f>
        <v>Těžba železných rud, kromě úpravy</v>
      </c>
      <c r="R399">
        <f>IF(ISNUMBER(SEARCH('1Př1'!$A$32,N399)),MAX($M$2:M398)+1,0)</f>
        <v>397</v>
      </c>
      <c r="S399" s="287" t="s">
        <v>1820</v>
      </c>
      <c r="T399" t="str">
        <f>IFERROR(VLOOKUP(ROWS($T$3:T399),$R$3:$S$718,2,0),"")</f>
        <v>Výroba zmrzliny</v>
      </c>
      <c r="U399">
        <f>IF(ISNUMBER(SEARCH('1Př1'!$A$33,N399)),MAX($M$2:M398)+1,0)</f>
        <v>397</v>
      </c>
      <c r="V399" s="287" t="s">
        <v>1820</v>
      </c>
      <c r="W399" t="str">
        <f>IFERROR(VLOOKUP(ROWS($W$3:W399),$U$3:$V$718,2,0),"")</f>
        <v>Výroba zmrzliny</v>
      </c>
      <c r="X399">
        <f>IF(ISNUMBER(SEARCH('1Př1'!$A$34,N399)),MAX($M$2:M398)+1,0)</f>
        <v>397</v>
      </c>
      <c r="Y399" s="287" t="s">
        <v>1820</v>
      </c>
      <c r="Z399" t="str">
        <f>IFERROR(VLOOKUP(ROWS($Z$3:Z399),$X$3:$Y$718,2,0),"")</f>
        <v>Výroba zmrzliny</v>
      </c>
    </row>
    <row r="400" spans="13:26">
      <c r="M400" s="286">
        <f>IF(ISNUMBER(SEARCH(ZAKL_DATA!$B$29,N400)),MAX($M$2:M399)+1,0)</f>
        <v>398</v>
      </c>
      <c r="N400" s="791" t="s">
        <v>1874</v>
      </c>
      <c r="O400" s="791" t="s">
        <v>3757</v>
      </c>
      <c r="Q400" s="288" t="str">
        <f>IFERROR(VLOOKUP(ROWS($Q$3:Q400),$M$3:$N$718,2,0),"")</f>
        <v>Tisk novin</v>
      </c>
      <c r="R400">
        <f>IF(ISNUMBER(SEARCH('1Př1'!$A$32,N400)),MAX($M$2:M399)+1,0)</f>
        <v>398</v>
      </c>
      <c r="S400" s="287" t="s">
        <v>1821</v>
      </c>
      <c r="T400" t="str">
        <f>IFERROR(VLOOKUP(ROWS($T$3:T400),$R$3:$S$718,2,0),"")</f>
        <v>Výroba mlýnských výrobků</v>
      </c>
      <c r="U400">
        <f>IF(ISNUMBER(SEARCH('1Př1'!$A$33,N400)),MAX($M$2:M399)+1,0)</f>
        <v>398</v>
      </c>
      <c r="V400" s="287" t="s">
        <v>1821</v>
      </c>
      <c r="W400" t="str">
        <f>IFERROR(VLOOKUP(ROWS($W$3:W400),$U$3:$V$718,2,0),"")</f>
        <v>Výroba mlýnských výrobků</v>
      </c>
      <c r="X400">
        <f>IF(ISNUMBER(SEARCH('1Př1'!$A$34,N400)),MAX($M$2:M399)+1,0)</f>
        <v>398</v>
      </c>
      <c r="Y400" s="287" t="s">
        <v>1821</v>
      </c>
      <c r="Z400" t="str">
        <f>IFERROR(VLOOKUP(ROWS($Z$3:Z400),$X$3:$Y$718,2,0),"")</f>
        <v>Výroba mlýnských výrobků</v>
      </c>
    </row>
    <row r="401" spans="13:26">
      <c r="M401" s="286">
        <f>IF(ISNUMBER(SEARCH(ZAKL_DATA!$B$29,N401)),MAX($M$2:M400)+1,0)</f>
        <v>399</v>
      </c>
      <c r="N401" s="791" t="s">
        <v>1269</v>
      </c>
      <c r="O401" s="791" t="s">
        <v>3758</v>
      </c>
      <c r="Q401" s="288" t="str">
        <f>IFERROR(VLOOKUP(ROWS($Q$3:Q401),$M$3:$N$718,2,0),"")</f>
        <v>Tkaní textilií</v>
      </c>
      <c r="R401">
        <f>IF(ISNUMBER(SEARCH('1Př1'!$A$32,N401)),MAX($M$2:M400)+1,0)</f>
        <v>399</v>
      </c>
      <c r="S401" s="287" t="s">
        <v>1822</v>
      </c>
      <c r="T401" t="str">
        <f>IFERROR(VLOOKUP(ROWS($T$3:T401),$R$3:$S$718,2,0),"")</f>
        <v>Výroba škrobárenských výrobků</v>
      </c>
      <c r="U401">
        <f>IF(ISNUMBER(SEARCH('1Př1'!$A$33,N401)),MAX($M$2:M400)+1,0)</f>
        <v>399</v>
      </c>
      <c r="V401" s="287" t="s">
        <v>1822</v>
      </c>
      <c r="W401" t="str">
        <f>IFERROR(VLOOKUP(ROWS($W$3:W401),$U$3:$V$718,2,0),"")</f>
        <v>Výroba škrobárenských výrobků</v>
      </c>
      <c r="X401">
        <f>IF(ISNUMBER(SEARCH('1Př1'!$A$34,N401)),MAX($M$2:M400)+1,0)</f>
        <v>399</v>
      </c>
      <c r="Y401" s="287" t="s">
        <v>1822</v>
      </c>
      <c r="Z401" t="str">
        <f>IFERROR(VLOOKUP(ROWS($Z$3:Z401),$X$3:$Y$718,2,0),"")</f>
        <v>Výroba škrobárenských výrobků</v>
      </c>
    </row>
    <row r="402" spans="13:26">
      <c r="M402" s="286">
        <f>IF(ISNUMBER(SEARCH(ZAKL_DATA!$B$29,N402)),MAX($M$2:M401)+1,0)</f>
        <v>400</v>
      </c>
      <c r="N402" s="791" t="s">
        <v>2030</v>
      </c>
      <c r="O402" s="791" t="s">
        <v>3759</v>
      </c>
      <c r="Q402" s="288" t="str">
        <f>IFERROR(VLOOKUP(ROWS($Q$3:Q402),$M$3:$N$718,2,0),"")</f>
        <v>Truhlářské práce</v>
      </c>
      <c r="R402">
        <f>IF(ISNUMBER(SEARCH('1Př1'!$A$32,N402)),MAX($M$2:M401)+1,0)</f>
        <v>400</v>
      </c>
      <c r="S402" s="287" t="s">
        <v>1823</v>
      </c>
      <c r="T402" t="str">
        <f>IFERROR(VLOOKUP(ROWS($T$3:T402),$R$3:$S$718,2,0),"")</f>
        <v>Výroba pekařských a cukrářských výrobků, kromě trvanlivých</v>
      </c>
      <c r="U402">
        <f>IF(ISNUMBER(SEARCH('1Př1'!$A$33,N402)),MAX($M$2:M401)+1,0)</f>
        <v>400</v>
      </c>
      <c r="V402" s="287" t="s">
        <v>1823</v>
      </c>
      <c r="W402" t="str">
        <f>IFERROR(VLOOKUP(ROWS($W$3:W402),$U$3:$V$718,2,0),"")</f>
        <v>Výroba pekařských a cukrářských výrobků, kromě trvanlivých</v>
      </c>
      <c r="X402">
        <f>IF(ISNUMBER(SEARCH('1Př1'!$A$34,N402)),MAX($M$2:M401)+1,0)</f>
        <v>400</v>
      </c>
      <c r="Y402" s="287" t="s">
        <v>1823</v>
      </c>
      <c r="Z402" t="str">
        <f>IFERROR(VLOOKUP(ROWS($Z$3:Z402),$X$3:$Y$718,2,0),"")</f>
        <v>Výroba pekařských a cukrářských výrobků, kromě trvanlivých</v>
      </c>
    </row>
    <row r="403" spans="13:26">
      <c r="M403" s="286">
        <f>IF(ISNUMBER(SEARCH(ZAKL_DATA!$B$29,N403)),MAX($M$2:M402)+1,0)</f>
        <v>401</v>
      </c>
      <c r="N403" s="791" t="s">
        <v>1898</v>
      </c>
      <c r="O403" s="791" t="s">
        <v>3760</v>
      </c>
      <c r="Q403" s="288" t="str">
        <f>IFERROR(VLOOKUP(ROWS($Q$3:Q403),$M$3:$N$718,2,0),"")</f>
        <v>Tvarování a zpracování plochého skla</v>
      </c>
      <c r="R403">
        <f>IF(ISNUMBER(SEARCH('1Př1'!$A$32,N403)),MAX($M$2:M402)+1,0)</f>
        <v>401</v>
      </c>
      <c r="S403" s="287" t="s">
        <v>1824</v>
      </c>
      <c r="T403" t="str">
        <f>IFERROR(VLOOKUP(ROWS($T$3:T403),$R$3:$S$718,2,0),"")</f>
        <v>Výroba sucharů a sušenek; výroba trvanlivých cukrářských výrobků</v>
      </c>
      <c r="U403">
        <f>IF(ISNUMBER(SEARCH('1Př1'!$A$33,N403)),MAX($M$2:M402)+1,0)</f>
        <v>401</v>
      </c>
      <c r="V403" s="287" t="s">
        <v>1824</v>
      </c>
      <c r="W403" t="str">
        <f>IFERROR(VLOOKUP(ROWS($W$3:W403),$U$3:$V$718,2,0),"")</f>
        <v>Výroba sucharů a sušenek; výroba trvanlivých cukrářských výrobků</v>
      </c>
      <c r="X403">
        <f>IF(ISNUMBER(SEARCH('1Př1'!$A$34,N403)),MAX($M$2:M402)+1,0)</f>
        <v>401</v>
      </c>
      <c r="Y403" s="287" t="s">
        <v>1824</v>
      </c>
      <c r="Z403" t="str">
        <f>IFERROR(VLOOKUP(ROWS($Z$3:Z403),$X$3:$Y$718,2,0),"")</f>
        <v>Výroba sucharů a sušenek; výroba trvanlivých cukrářských výrobků</v>
      </c>
    </row>
    <row r="404" spans="13:26">
      <c r="M404" s="286">
        <f>IF(ISNUMBER(SEARCH(ZAKL_DATA!$B$29,N404)),MAX($M$2:M403)+1,0)</f>
        <v>402</v>
      </c>
      <c r="N404" s="791" t="s">
        <v>1921</v>
      </c>
      <c r="O404" s="791" t="s">
        <v>3761</v>
      </c>
      <c r="Q404" s="288" t="str">
        <f>IFERROR(VLOOKUP(ROWS($Q$3:Q404),$M$3:$N$718,2,0),"")</f>
        <v>Tváření ocelových profilů za studena</v>
      </c>
      <c r="R404">
        <f>IF(ISNUMBER(SEARCH('1Př1'!$A$32,N404)),MAX($M$2:M403)+1,0)</f>
        <v>402</v>
      </c>
      <c r="S404" s="287" t="s">
        <v>1825</v>
      </c>
      <c r="T404" t="str">
        <f>IFERROR(VLOOKUP(ROWS($T$3:T404),$R$3:$S$718,2,0),"")</f>
        <v>Výroba makaronů, nudlí, kuskusu a podobných moučných výrobků</v>
      </c>
      <c r="U404">
        <f>IF(ISNUMBER(SEARCH('1Př1'!$A$33,N404)),MAX($M$2:M403)+1,0)</f>
        <v>402</v>
      </c>
      <c r="V404" s="287" t="s">
        <v>1825</v>
      </c>
      <c r="W404" t="str">
        <f>IFERROR(VLOOKUP(ROWS($W$3:W404),$U$3:$V$718,2,0),"")</f>
        <v>Výroba makaronů, nudlí, kuskusu a podobných moučných výrobků</v>
      </c>
      <c r="X404">
        <f>IF(ISNUMBER(SEARCH('1Př1'!$A$34,N404)),MAX($M$2:M403)+1,0)</f>
        <v>402</v>
      </c>
      <c r="Y404" s="287" t="s">
        <v>1825</v>
      </c>
      <c r="Z404" t="str">
        <f>IFERROR(VLOOKUP(ROWS($Z$3:Z404),$X$3:$Y$718,2,0),"")</f>
        <v>Výroba makaronů, nudlí, kuskusu a podobných moučných výrobků</v>
      </c>
    </row>
    <row r="405" spans="13:26" ht="25.5">
      <c r="M405" s="286">
        <f>IF(ISNUMBER(SEARCH(ZAKL_DATA!$B$29,N405)),MAX($M$2:M404)+1,0)</f>
        <v>403</v>
      </c>
      <c r="N405" s="791" t="s">
        <v>3762</v>
      </c>
      <c r="O405" s="791" t="s">
        <v>3763</v>
      </c>
      <c r="Q405" s="288" t="str">
        <f>IFERROR(VLOOKUP(ROWS($Q$3:Q405),$M$3:$N$718,2,0),"")</f>
        <v>Tvorba televizních programů, televizní vysílání a distribuce videozáznamů</v>
      </c>
      <c r="R405">
        <f>IF(ISNUMBER(SEARCH('1Př1'!$A$32,N405)),MAX($M$2:M404)+1,0)</f>
        <v>403</v>
      </c>
      <c r="S405" s="287" t="s">
        <v>1826</v>
      </c>
      <c r="T405" t="str">
        <f>IFERROR(VLOOKUP(ROWS($T$3:T405),$R$3:$S$718,2,0),"")</f>
        <v>Výroba cukru</v>
      </c>
      <c r="U405">
        <f>IF(ISNUMBER(SEARCH('1Př1'!$A$33,N405)),MAX($M$2:M404)+1,0)</f>
        <v>403</v>
      </c>
      <c r="V405" s="287" t="s">
        <v>1826</v>
      </c>
      <c r="W405" t="str">
        <f>IFERROR(VLOOKUP(ROWS($W$3:W405),$U$3:$V$718,2,0),"")</f>
        <v>Výroba cukru</v>
      </c>
      <c r="X405">
        <f>IF(ISNUMBER(SEARCH('1Př1'!$A$34,N405)),MAX($M$2:M404)+1,0)</f>
        <v>403</v>
      </c>
      <c r="Y405" s="287" t="s">
        <v>1826</v>
      </c>
      <c r="Z405" t="str">
        <f>IFERROR(VLOOKUP(ROWS($Z$3:Z405),$X$3:$Y$718,2,0),"")</f>
        <v>Výroba cukru</v>
      </c>
    </row>
    <row r="406" spans="13:26" ht="25.5">
      <c r="M406" s="286">
        <f>IF(ISNUMBER(SEARCH(ZAKL_DATA!$B$29,N406)),MAX($M$2:M405)+1,0)</f>
        <v>404</v>
      </c>
      <c r="N406" s="791" t="s">
        <v>1711</v>
      </c>
      <c r="O406" s="791" t="s">
        <v>3764</v>
      </c>
      <c r="Q406" s="288" t="str">
        <f>IFERROR(VLOOKUP(ROWS($Q$3:Q406),$M$3:$N$718,2,0),"")</f>
        <v>Ubytování v hotelích a podobných ubytovacích zařízeních</v>
      </c>
      <c r="R406">
        <f>IF(ISNUMBER(SEARCH('1Př1'!$A$32,N406)),MAX($M$2:M405)+1,0)</f>
        <v>404</v>
      </c>
      <c r="S406" s="287" t="s">
        <v>1827</v>
      </c>
      <c r="T406" t="str">
        <f>IFERROR(VLOOKUP(ROWS($T$3:T406),$R$3:$S$718,2,0),"")</f>
        <v>Výroba kakaa, čokolády a cukrovinek</v>
      </c>
      <c r="U406">
        <f>IF(ISNUMBER(SEARCH('1Př1'!$A$33,N406)),MAX($M$2:M405)+1,0)</f>
        <v>404</v>
      </c>
      <c r="V406" s="287" t="s">
        <v>1827</v>
      </c>
      <c r="W406" t="str">
        <f>IFERROR(VLOOKUP(ROWS($W$3:W406),$U$3:$V$718,2,0),"")</f>
        <v>Výroba kakaa, čokolády a cukrovinek</v>
      </c>
      <c r="X406">
        <f>IF(ISNUMBER(SEARCH('1Př1'!$A$34,N406)),MAX($M$2:M405)+1,0)</f>
        <v>404</v>
      </c>
      <c r="Y406" s="287" t="s">
        <v>1827</v>
      </c>
      <c r="Z406" t="str">
        <f>IFERROR(VLOOKUP(ROWS($Z$3:Z406),$X$3:$Y$718,2,0),"")</f>
        <v>Výroba kakaa, čokolády a cukrovinek</v>
      </c>
    </row>
    <row r="407" spans="13:26">
      <c r="M407" s="286">
        <f>IF(ISNUMBER(SEARCH(ZAKL_DATA!$B$29,N407)),MAX($M$2:M406)+1,0)</f>
        <v>405</v>
      </c>
      <c r="N407" s="791" t="s">
        <v>1743</v>
      </c>
      <c r="O407" s="791" t="s">
        <v>3765</v>
      </c>
      <c r="Q407" s="288" t="str">
        <f>IFERROR(VLOOKUP(ROWS($Q$3:Q407),$M$3:$N$718,2,0),"")</f>
        <v>Účetnické a auditorské činnosti; daňové poradenství</v>
      </c>
      <c r="R407">
        <f>IF(ISNUMBER(SEARCH('1Př1'!$A$32,N407)),MAX($M$2:M406)+1,0)</f>
        <v>405</v>
      </c>
      <c r="S407" s="287" t="s">
        <v>1828</v>
      </c>
      <c r="T407" t="str">
        <f>IFERROR(VLOOKUP(ROWS($T$3:T407),$R$3:$S$718,2,0),"")</f>
        <v>Zpracování čaje a kávy</v>
      </c>
      <c r="U407">
        <f>IF(ISNUMBER(SEARCH('1Př1'!$A$33,N407)),MAX($M$2:M406)+1,0)</f>
        <v>405</v>
      </c>
      <c r="V407" s="287" t="s">
        <v>1828</v>
      </c>
      <c r="W407" t="str">
        <f>IFERROR(VLOOKUP(ROWS($W$3:W407),$U$3:$V$718,2,0),"")</f>
        <v>Zpracování čaje a kávy</v>
      </c>
      <c r="X407">
        <f>IF(ISNUMBER(SEARCH('1Př1'!$A$34,N407)),MAX($M$2:M406)+1,0)</f>
        <v>405</v>
      </c>
      <c r="Y407" s="287" t="s">
        <v>1828</v>
      </c>
      <c r="Z407" t="str">
        <f>IFERROR(VLOOKUP(ROWS($Z$3:Z407),$X$3:$Y$718,2,0),"")</f>
        <v>Zpracování čaje a kávy</v>
      </c>
    </row>
    <row r="408" spans="13:26">
      <c r="M408" s="286">
        <f>IF(ISNUMBER(SEARCH(ZAKL_DATA!$B$29,N408)),MAX($M$2:M407)+1,0)</f>
        <v>406</v>
      </c>
      <c r="N408" s="791" t="s">
        <v>2178</v>
      </c>
      <c r="O408" s="791" t="s">
        <v>3766</v>
      </c>
      <c r="Q408" s="288" t="str">
        <f>IFERROR(VLOOKUP(ROWS($Q$3:Q408),$M$3:$N$718,2,0),"")</f>
        <v>Umělecké vzdělávání</v>
      </c>
      <c r="R408">
        <f>IF(ISNUMBER(SEARCH('1Př1'!$A$32,N408)),MAX($M$2:M407)+1,0)</f>
        <v>406</v>
      </c>
      <c r="S408" s="287" t="s">
        <v>1829</v>
      </c>
      <c r="T408" t="str">
        <f>IFERROR(VLOOKUP(ROWS($T$3:T408),$R$3:$S$718,2,0),"")</f>
        <v>Výroba koření a aromatických výtažků</v>
      </c>
      <c r="U408">
        <f>IF(ISNUMBER(SEARCH('1Př1'!$A$33,N408)),MAX($M$2:M407)+1,0)</f>
        <v>406</v>
      </c>
      <c r="V408" s="287" t="s">
        <v>1829</v>
      </c>
      <c r="W408" t="str">
        <f>IFERROR(VLOOKUP(ROWS($W$3:W408),$U$3:$V$718,2,0),"")</f>
        <v>Výroba koření a aromatických výtažků</v>
      </c>
      <c r="X408">
        <f>IF(ISNUMBER(SEARCH('1Př1'!$A$34,N408)),MAX($M$2:M407)+1,0)</f>
        <v>406</v>
      </c>
      <c r="Y408" s="287" t="s">
        <v>1829</v>
      </c>
      <c r="Z408" t="str">
        <f>IFERROR(VLOOKUP(ROWS($Z$3:Z408),$X$3:$Y$718,2,0),"")</f>
        <v>Výroba koření a aromatických výtažků</v>
      </c>
    </row>
    <row r="409" spans="13:26">
      <c r="M409" s="286">
        <f>IF(ISNUMBER(SEARCH(ZAKL_DATA!$B$29,N409)),MAX($M$2:M408)+1,0)</f>
        <v>407</v>
      </c>
      <c r="N409" s="791" t="s">
        <v>1265</v>
      </c>
      <c r="O409" s="791" t="s">
        <v>3767</v>
      </c>
      <c r="Q409" s="288" t="str">
        <f>IFERROR(VLOOKUP(ROWS($Q$3:Q409),$M$3:$N$718,2,0),"")</f>
        <v>Úprava a spřádání textilních vláken a příze</v>
      </c>
      <c r="R409">
        <f>IF(ISNUMBER(SEARCH('1Př1'!$A$32,N409)),MAX($M$2:M408)+1,0)</f>
        <v>407</v>
      </c>
      <c r="S409" s="287" t="s">
        <v>1830</v>
      </c>
      <c r="T409" t="str">
        <f>IFERROR(VLOOKUP(ROWS($T$3:T409),$R$3:$S$718,2,0),"")</f>
        <v>Výroba hotových pokrmů</v>
      </c>
      <c r="U409">
        <f>IF(ISNUMBER(SEARCH('1Př1'!$A$33,N409)),MAX($M$2:M408)+1,0)</f>
        <v>407</v>
      </c>
      <c r="V409" s="287" t="s">
        <v>1830</v>
      </c>
      <c r="W409" t="str">
        <f>IFERROR(VLOOKUP(ROWS($W$3:W409),$U$3:$V$718,2,0),"")</f>
        <v>Výroba hotových pokrmů</v>
      </c>
      <c r="X409">
        <f>IF(ISNUMBER(SEARCH('1Př1'!$A$34,N409)),MAX($M$2:M408)+1,0)</f>
        <v>407</v>
      </c>
      <c r="Y409" s="287" t="s">
        <v>1830</v>
      </c>
      <c r="Z409" t="str">
        <f>IFERROR(VLOOKUP(ROWS($Z$3:Z409),$X$3:$Y$718,2,0),"")</f>
        <v>Výroba hotových pokrmů</v>
      </c>
    </row>
    <row r="410" spans="13:26">
      <c r="M410" s="286">
        <f>IF(ISNUMBER(SEARCH(ZAKL_DATA!$B$29,N410)),MAX($M$2:M409)+1,0)</f>
        <v>408</v>
      </c>
      <c r="N410" s="791" t="s">
        <v>2129</v>
      </c>
      <c r="O410" s="791" t="s">
        <v>3768</v>
      </c>
      <c r="Q410" s="288" t="str">
        <f>IFERROR(VLOOKUP(ROWS($Q$3:Q410),$M$3:$N$718,2,0),"")</f>
        <v>Úprava černého uhlí</v>
      </c>
      <c r="R410">
        <f>IF(ISNUMBER(SEARCH('1Př1'!$A$32,N410)),MAX($M$2:M409)+1,0)</f>
        <v>408</v>
      </c>
      <c r="S410" s="287" t="s">
        <v>1831</v>
      </c>
      <c r="T410" t="str">
        <f>IFERROR(VLOOKUP(ROWS($T$3:T410),$R$3:$S$718,2,0),"")</f>
        <v>Výroba homogenizovaných potravinářských přípravků a dietních potravin</v>
      </c>
      <c r="U410">
        <f>IF(ISNUMBER(SEARCH('1Př1'!$A$33,N410)),MAX($M$2:M409)+1,0)</f>
        <v>408</v>
      </c>
      <c r="V410" s="287" t="s">
        <v>1831</v>
      </c>
      <c r="W410" t="str">
        <f>IFERROR(VLOOKUP(ROWS($W$3:W410),$U$3:$V$718,2,0),"")</f>
        <v>Výroba homogenizovaných potravinářských přípravků a dietních potravin</v>
      </c>
      <c r="X410">
        <f>IF(ISNUMBER(SEARCH('1Př1'!$A$34,N410)),MAX($M$2:M409)+1,0)</f>
        <v>408</v>
      </c>
      <c r="Y410" s="287" t="s">
        <v>1831</v>
      </c>
      <c r="Z410" t="str">
        <f>IFERROR(VLOOKUP(ROWS($Z$3:Z410),$X$3:$Y$718,2,0),"")</f>
        <v>Výroba homogenizovaných potravinářských přípravků a dietních potravin</v>
      </c>
    </row>
    <row r="411" spans="13:26">
      <c r="M411" s="286">
        <f>IF(ISNUMBER(SEARCH(ZAKL_DATA!$B$29,N411)),MAX($M$2:M410)+1,0)</f>
        <v>409</v>
      </c>
      <c r="N411" s="791" t="s">
        <v>3769</v>
      </c>
      <c r="O411" s="791" t="s">
        <v>3770</v>
      </c>
      <c r="Q411" s="288" t="str">
        <f>IFERROR(VLOOKUP(ROWS($Q$3:Q411),$M$3:$N$718,2,0),"")</f>
        <v>Úprava hnědého uhlí jiného než lignitu</v>
      </c>
      <c r="R411">
        <f>IF(ISNUMBER(SEARCH('1Př1'!$A$32,N411)),MAX($M$2:M410)+1,0)</f>
        <v>409</v>
      </c>
      <c r="S411" s="287" t="s">
        <v>1832</v>
      </c>
      <c r="T411" t="str">
        <f>IFERROR(VLOOKUP(ROWS($T$3:T411),$R$3:$S$718,2,0),"")</f>
        <v>Výroba ostatních potravinářských výrobků j. n.</v>
      </c>
      <c r="U411">
        <f>IF(ISNUMBER(SEARCH('1Př1'!$A$33,N411)),MAX($M$2:M410)+1,0)</f>
        <v>409</v>
      </c>
      <c r="V411" s="287" t="s">
        <v>1832</v>
      </c>
      <c r="W411" t="str">
        <f>IFERROR(VLOOKUP(ROWS($W$3:W411),$U$3:$V$718,2,0),"")</f>
        <v>Výroba ostatních potravinářských výrobků j. n.</v>
      </c>
      <c r="X411">
        <f>IF(ISNUMBER(SEARCH('1Př1'!$A$34,N411)),MAX($M$2:M410)+1,0)</f>
        <v>409</v>
      </c>
      <c r="Y411" s="287" t="s">
        <v>1832</v>
      </c>
      <c r="Z411" t="str">
        <f>IFERROR(VLOOKUP(ROWS($Z$3:Z411),$X$3:$Y$718,2,0),"")</f>
        <v>Výroba ostatních potravinářských výrobků j. n.</v>
      </c>
    </row>
    <row r="412" spans="13:26">
      <c r="M412" s="286">
        <f>IF(ISNUMBER(SEARCH(ZAKL_DATA!$B$29,N412)),MAX($M$2:M411)+1,0)</f>
        <v>410</v>
      </c>
      <c r="N412" s="791" t="s">
        <v>2135</v>
      </c>
      <c r="O412" s="791" t="s">
        <v>3771</v>
      </c>
      <c r="Q412" s="288" t="str">
        <f>IFERROR(VLOOKUP(ROWS($Q$3:Q412),$M$3:$N$718,2,0),"")</f>
        <v>Úprava lignitu</v>
      </c>
      <c r="R412">
        <f>IF(ISNUMBER(SEARCH('1Př1'!$A$32,N412)),MAX($M$2:M411)+1,0)</f>
        <v>410</v>
      </c>
      <c r="S412" s="287" t="s">
        <v>1833</v>
      </c>
      <c r="T412" t="str">
        <f>IFERROR(VLOOKUP(ROWS($T$3:T412),$R$3:$S$718,2,0),"")</f>
        <v>Výroba průmyslových krmiv pro hospodářská zvířata</v>
      </c>
      <c r="U412">
        <f>IF(ISNUMBER(SEARCH('1Př1'!$A$33,N412)),MAX($M$2:M411)+1,0)</f>
        <v>410</v>
      </c>
      <c r="V412" s="287" t="s">
        <v>1833</v>
      </c>
      <c r="W412" t="str">
        <f>IFERROR(VLOOKUP(ROWS($W$3:W412),$U$3:$V$718,2,0),"")</f>
        <v>Výroba průmyslových krmiv pro hospodářská zvířata</v>
      </c>
      <c r="X412">
        <f>IF(ISNUMBER(SEARCH('1Př1'!$A$34,N412)),MAX($M$2:M411)+1,0)</f>
        <v>410</v>
      </c>
      <c r="Y412" s="287" t="s">
        <v>1833</v>
      </c>
      <c r="Z412" t="str">
        <f>IFERROR(VLOOKUP(ROWS($Z$3:Z412),$X$3:$Y$718,2,0),"")</f>
        <v>Výroba průmyslových krmiv pro hospodářská zvířata</v>
      </c>
    </row>
    <row r="413" spans="13:26">
      <c r="M413" s="286">
        <f>IF(ISNUMBER(SEARCH(ZAKL_DATA!$B$29,N413)),MAX($M$2:M412)+1,0)</f>
        <v>411</v>
      </c>
      <c r="N413" s="791" t="s">
        <v>2153</v>
      </c>
      <c r="O413" s="791" t="s">
        <v>3772</v>
      </c>
      <c r="Q413" s="288" t="str">
        <f>IFERROR(VLOOKUP(ROWS($Q$3:Q413),$M$3:$N$718,2,0),"")</f>
        <v>Úprava ostatních neželezných rud</v>
      </c>
      <c r="R413">
        <f>IF(ISNUMBER(SEARCH('1Př1'!$A$32,N413)),MAX($M$2:M412)+1,0)</f>
        <v>411</v>
      </c>
      <c r="S413" s="287" t="s">
        <v>1834</v>
      </c>
      <c r="T413" t="str">
        <f>IFERROR(VLOOKUP(ROWS($T$3:T413),$R$3:$S$718,2,0),"")</f>
        <v>Výroba průmyslových krmiv pro zvířata v zájmovém chovu</v>
      </c>
      <c r="U413">
        <f>IF(ISNUMBER(SEARCH('1Př1'!$A$33,N413)),MAX($M$2:M412)+1,0)</f>
        <v>411</v>
      </c>
      <c r="V413" s="287" t="s">
        <v>1834</v>
      </c>
      <c r="W413" t="str">
        <f>IFERROR(VLOOKUP(ROWS($W$3:W413),$U$3:$V$718,2,0),"")</f>
        <v>Výroba průmyslových krmiv pro zvířata v zájmovém chovu</v>
      </c>
      <c r="X413">
        <f>IF(ISNUMBER(SEARCH('1Př1'!$A$34,N413)),MAX($M$2:M412)+1,0)</f>
        <v>411</v>
      </c>
      <c r="Y413" s="287" t="s">
        <v>1834</v>
      </c>
      <c r="Z413" t="str">
        <f>IFERROR(VLOOKUP(ROWS($Z$3:Z413),$X$3:$Y$718,2,0),"")</f>
        <v>Výroba průmyslových krmiv pro zvířata v zájmovém chovu</v>
      </c>
    </row>
    <row r="414" spans="13:26">
      <c r="M414" s="286">
        <f>IF(ISNUMBER(SEARCH(ZAKL_DATA!$B$29,N414)),MAX($M$2:M413)+1,0)</f>
        <v>412</v>
      </c>
      <c r="N414" s="791" t="s">
        <v>2152</v>
      </c>
      <c r="O414" s="791" t="s">
        <v>3773</v>
      </c>
      <c r="Q414" s="288" t="str">
        <f>IFERROR(VLOOKUP(ROWS($Q$3:Q414),$M$3:$N$718,2,0),"")</f>
        <v>Úprava uranových a thoriových rud</v>
      </c>
      <c r="R414">
        <f>IF(ISNUMBER(SEARCH('1Př1'!$A$32,N414)),MAX($M$2:M413)+1,0)</f>
        <v>412</v>
      </c>
      <c r="S414" s="287" t="s">
        <v>1835</v>
      </c>
      <c r="T414" t="str">
        <f>IFERROR(VLOOKUP(ROWS($T$3:T414),$R$3:$S$718,2,0),"")</f>
        <v>Destilace, rektifikace a míchání lihovin</v>
      </c>
      <c r="U414">
        <f>IF(ISNUMBER(SEARCH('1Př1'!$A$33,N414)),MAX($M$2:M413)+1,0)</f>
        <v>412</v>
      </c>
      <c r="V414" s="287" t="s">
        <v>1835</v>
      </c>
      <c r="W414" t="str">
        <f>IFERROR(VLOOKUP(ROWS($W$3:W414),$U$3:$V$718,2,0),"")</f>
        <v>Destilace, rektifikace a míchání lihovin</v>
      </c>
      <c r="X414">
        <f>IF(ISNUMBER(SEARCH('1Př1'!$A$34,N414)),MAX($M$2:M413)+1,0)</f>
        <v>412</v>
      </c>
      <c r="Y414" s="287" t="s">
        <v>1835</v>
      </c>
      <c r="Z414" t="str">
        <f>IFERROR(VLOOKUP(ROWS($Z$3:Z414),$X$3:$Y$718,2,0),"")</f>
        <v>Destilace, rektifikace a míchání lihovin</v>
      </c>
    </row>
    <row r="415" spans="13:26">
      <c r="M415" s="286">
        <f>IF(ISNUMBER(SEARCH(ZAKL_DATA!$B$29,N415)),MAX($M$2:M414)+1,0)</f>
        <v>413</v>
      </c>
      <c r="N415" s="791" t="s">
        <v>2149</v>
      </c>
      <c r="O415" s="791" t="s">
        <v>3774</v>
      </c>
      <c r="Q415" s="288" t="str">
        <f>IFERROR(VLOOKUP(ROWS($Q$3:Q415),$M$3:$N$718,2,0),"")</f>
        <v>Úprava železných rud</v>
      </c>
      <c r="R415">
        <f>IF(ISNUMBER(SEARCH('1Př1'!$A$32,N415)),MAX($M$2:M414)+1,0)</f>
        <v>413</v>
      </c>
      <c r="S415" s="287" t="s">
        <v>1836</v>
      </c>
      <c r="T415" t="str">
        <f>IFERROR(VLOOKUP(ROWS($T$3:T415),$R$3:$S$718,2,0),"")</f>
        <v>Výroba vína z vinných hroznů</v>
      </c>
      <c r="U415">
        <f>IF(ISNUMBER(SEARCH('1Př1'!$A$33,N415)),MAX($M$2:M414)+1,0)</f>
        <v>413</v>
      </c>
      <c r="V415" s="287" t="s">
        <v>1836</v>
      </c>
      <c r="W415" t="str">
        <f>IFERROR(VLOOKUP(ROWS($W$3:W415),$U$3:$V$718,2,0),"")</f>
        <v>Výroba vína z vinných hroznů</v>
      </c>
      <c r="X415">
        <f>IF(ISNUMBER(SEARCH('1Př1'!$A$34,N415)),MAX($M$2:M414)+1,0)</f>
        <v>413</v>
      </c>
      <c r="Y415" s="287" t="s">
        <v>1836</v>
      </c>
      <c r="Z415" t="str">
        <f>IFERROR(VLOOKUP(ROWS($Z$3:Z415),$X$3:$Y$718,2,0),"")</f>
        <v>Výroba vína z vinných hroznů</v>
      </c>
    </row>
    <row r="416" spans="13:26">
      <c r="M416" s="286">
        <f>IF(ISNUMBER(SEARCH(ZAKL_DATA!$B$29,N416)),MAX($M$2:M415)+1,0)</f>
        <v>414</v>
      </c>
      <c r="N416" s="791" t="s">
        <v>1920</v>
      </c>
      <c r="O416" s="791" t="s">
        <v>3775</v>
      </c>
      <c r="Q416" s="288" t="str">
        <f>IFERROR(VLOOKUP(ROWS($Q$3:Q416),$M$3:$N$718,2,0),"")</f>
        <v>Válcování ocelových úzkých pásů za studena</v>
      </c>
      <c r="R416">
        <f>IF(ISNUMBER(SEARCH('1Př1'!$A$32,N416)),MAX($M$2:M415)+1,0)</f>
        <v>414</v>
      </c>
      <c r="S416" s="287" t="s">
        <v>1837</v>
      </c>
      <c r="T416" t="str">
        <f>IFERROR(VLOOKUP(ROWS($T$3:T416),$R$3:$S$718,2,0),"")</f>
        <v>Výroba jablečného vína a jiných ovocných vín</v>
      </c>
      <c r="U416">
        <f>IF(ISNUMBER(SEARCH('1Př1'!$A$33,N416)),MAX($M$2:M415)+1,0)</f>
        <v>414</v>
      </c>
      <c r="V416" s="287" t="s">
        <v>1837</v>
      </c>
      <c r="W416" t="str">
        <f>IFERROR(VLOOKUP(ROWS($W$3:W416),$U$3:$V$718,2,0),"")</f>
        <v>Výroba jablečného vína a jiných ovocných vín</v>
      </c>
      <c r="X416">
        <f>IF(ISNUMBER(SEARCH('1Př1'!$A$34,N416)),MAX($M$2:M415)+1,0)</f>
        <v>414</v>
      </c>
      <c r="Y416" s="287" t="s">
        <v>1837</v>
      </c>
      <c r="Z416" t="str">
        <f>IFERROR(VLOOKUP(ROWS($Z$3:Z416),$X$3:$Y$718,2,0),"")</f>
        <v>Výroba jablečného vína a jiných ovocných vín</v>
      </c>
    </row>
    <row r="417" spans="13:26">
      <c r="M417" s="286">
        <f>IF(ISNUMBER(SEARCH(ZAKL_DATA!$B$29,N417)),MAX($M$2:M416)+1,0)</f>
        <v>415</v>
      </c>
      <c r="N417" s="791" t="s">
        <v>1877</v>
      </c>
      <c r="O417" s="791" t="s">
        <v>3776</v>
      </c>
      <c r="Q417" s="288" t="str">
        <f>IFERROR(VLOOKUP(ROWS($Q$3:Q417),$M$3:$N$718,2,0),"")</f>
        <v>Vázání a související činnosti</v>
      </c>
      <c r="R417">
        <f>IF(ISNUMBER(SEARCH('1Př1'!$A$32,N417)),MAX($M$2:M416)+1,0)</f>
        <v>415</v>
      </c>
      <c r="S417" s="287" t="s">
        <v>1838</v>
      </c>
      <c r="T417" t="str">
        <f>IFERROR(VLOOKUP(ROWS($T$3:T417),$R$3:$S$718,2,0),"")</f>
        <v>Výroba ostatních nedestilovaných kvašených nápojů</v>
      </c>
      <c r="U417">
        <f>IF(ISNUMBER(SEARCH('1Př1'!$A$33,N417)),MAX($M$2:M416)+1,0)</f>
        <v>415</v>
      </c>
      <c r="V417" s="287" t="s">
        <v>1838</v>
      </c>
      <c r="W417" t="str">
        <f>IFERROR(VLOOKUP(ROWS($W$3:W417),$U$3:$V$718,2,0),"")</f>
        <v>Výroba ostatních nedestilovaných kvašených nápojů</v>
      </c>
      <c r="X417">
        <f>IF(ISNUMBER(SEARCH('1Př1'!$A$34,N417)),MAX($M$2:M416)+1,0)</f>
        <v>415</v>
      </c>
      <c r="Y417" s="287" t="s">
        <v>1838</v>
      </c>
      <c r="Z417" t="str">
        <f>IFERROR(VLOOKUP(ROWS($Z$3:Z417),$X$3:$Y$718,2,0),"")</f>
        <v>Výroba ostatních nedestilovaných kvašených nápojů</v>
      </c>
    </row>
    <row r="418" spans="13:26">
      <c r="M418" s="286">
        <f>IF(ISNUMBER(SEARCH(ZAKL_DATA!$B$29,N418)),MAX($M$2:M417)+1,0)</f>
        <v>416</v>
      </c>
      <c r="N418" s="791" t="s">
        <v>2058</v>
      </c>
      <c r="O418" s="791" t="s">
        <v>3777</v>
      </c>
      <c r="Q418" s="288" t="str">
        <f>IFERROR(VLOOKUP(ROWS($Q$3:Q418),$M$3:$N$718,2,0),"")</f>
        <v>Velkoobchod s cukrem, čokoládou a cukrovinkami</v>
      </c>
      <c r="R418">
        <f>IF(ISNUMBER(SEARCH('1Př1'!$A$32,N418)),MAX($M$2:M417)+1,0)</f>
        <v>416</v>
      </c>
      <c r="S418" s="287" t="s">
        <v>1839</v>
      </c>
      <c r="T418" t="str">
        <f>IFERROR(VLOOKUP(ROWS($T$3:T418),$R$3:$S$718,2,0),"")</f>
        <v>Výroba piva</v>
      </c>
      <c r="U418">
        <f>IF(ISNUMBER(SEARCH('1Př1'!$A$33,N418)),MAX($M$2:M417)+1,0)</f>
        <v>416</v>
      </c>
      <c r="V418" s="287" t="s">
        <v>1839</v>
      </c>
      <c r="W418" t="str">
        <f>IFERROR(VLOOKUP(ROWS($W$3:W418),$U$3:$V$718,2,0),"")</f>
        <v>Výroba piva</v>
      </c>
      <c r="X418">
        <f>IF(ISNUMBER(SEARCH('1Př1'!$A$34,N418)),MAX($M$2:M417)+1,0)</f>
        <v>416</v>
      </c>
      <c r="Y418" s="287" t="s">
        <v>1839</v>
      </c>
      <c r="Z418" t="str">
        <f>IFERROR(VLOOKUP(ROWS($Z$3:Z418),$X$3:$Y$718,2,0),"")</f>
        <v>Výroba piva</v>
      </c>
    </row>
    <row r="419" spans="13:26" ht="25.5">
      <c r="M419" s="286">
        <f>IF(ISNUMBER(SEARCH(ZAKL_DATA!$B$29,N419)),MAX($M$2:M418)+1,0)</f>
        <v>417</v>
      </c>
      <c r="N419" s="791" t="s">
        <v>3778</v>
      </c>
      <c r="O419" s="791" t="s">
        <v>3779</v>
      </c>
      <c r="Q419" s="288" t="str">
        <f>IFERROR(VLOOKUP(ROWS($Q$3:Q419),$M$3:$N$718,2,0),"")</f>
        <v>Velkoobchod s díly a příslušenstvím pro motorová vozidla</v>
      </c>
      <c r="R419">
        <f>IF(ISNUMBER(SEARCH('1Př1'!$A$32,N419)),MAX($M$2:M418)+1,0)</f>
        <v>417</v>
      </c>
      <c r="S419" s="287" t="s">
        <v>1840</v>
      </c>
      <c r="T419" t="str">
        <f>IFERROR(VLOOKUP(ROWS($T$3:T419),$R$3:$S$718,2,0),"")</f>
        <v>Výroba sladu</v>
      </c>
      <c r="U419">
        <f>IF(ISNUMBER(SEARCH('1Př1'!$A$33,N419)),MAX($M$2:M418)+1,0)</f>
        <v>417</v>
      </c>
      <c r="V419" s="287" t="s">
        <v>1840</v>
      </c>
      <c r="W419" t="str">
        <f>IFERROR(VLOOKUP(ROWS($W$3:W419),$U$3:$V$718,2,0),"")</f>
        <v>Výroba sladu</v>
      </c>
      <c r="X419">
        <f>IF(ISNUMBER(SEARCH('1Př1'!$A$34,N419)),MAX($M$2:M418)+1,0)</f>
        <v>417</v>
      </c>
      <c r="Y419" s="287" t="s">
        <v>1840</v>
      </c>
      <c r="Z419" t="str">
        <f>IFERROR(VLOOKUP(ROWS($Z$3:Z419),$X$3:$Y$718,2,0),"")</f>
        <v>Výroba sladu</v>
      </c>
    </row>
    <row r="420" spans="13:26" ht="25.5">
      <c r="M420" s="286">
        <f>IF(ISNUMBER(SEARCH(ZAKL_DATA!$B$29,N420)),MAX($M$2:M419)+1,0)</f>
        <v>418</v>
      </c>
      <c r="N420" s="791" t="s">
        <v>3780</v>
      </c>
      <c r="O420" s="791" t="s">
        <v>3781</v>
      </c>
      <c r="Q420" s="288" t="str">
        <f>IFERROR(VLOOKUP(ROWS($Q$3:Q420),$M$3:$N$718,2,0),"")</f>
        <v>Velkoobchod s elektrospotřebiči a elektronikou převážně pro domácnost</v>
      </c>
      <c r="R420">
        <f>IF(ISNUMBER(SEARCH('1Př1'!$A$32,N420)),MAX($M$2:M419)+1,0)</f>
        <v>418</v>
      </c>
      <c r="S420" s="287" t="s">
        <v>1841</v>
      </c>
      <c r="T420" t="str">
        <f>IFERROR(VLOOKUP(ROWS($T$3:T420),$R$3:$S$718,2,0),"")</f>
        <v>Výroba nealkohol.nápojů;stáčení minerálních a ostatních vod do lahví</v>
      </c>
      <c r="U420">
        <f>IF(ISNUMBER(SEARCH('1Př1'!$A$33,N420)),MAX($M$2:M419)+1,0)</f>
        <v>418</v>
      </c>
      <c r="V420" s="287" t="s">
        <v>1841</v>
      </c>
      <c r="W420" t="str">
        <f>IFERROR(VLOOKUP(ROWS($W$3:W420),$U$3:$V$718,2,0),"")</f>
        <v>Výroba nealkohol.nápojů;stáčení minerálních a ostatních vod do lahví</v>
      </c>
      <c r="X420">
        <f>IF(ISNUMBER(SEARCH('1Př1'!$A$34,N420)),MAX($M$2:M419)+1,0)</f>
        <v>418</v>
      </c>
      <c r="Y420" s="287" t="s">
        <v>1841</v>
      </c>
      <c r="Z420" t="str">
        <f>IFERROR(VLOOKUP(ROWS($Z$3:Z420),$X$3:$Y$718,2,0),"")</f>
        <v>Výroba nealkohol.nápojů;stáčení minerálních a ostatních vod do lahví</v>
      </c>
    </row>
    <row r="421" spans="13:26" ht="25.5">
      <c r="M421" s="286">
        <f>IF(ISNUMBER(SEARCH(ZAKL_DATA!$B$29,N421)),MAX($M$2:M420)+1,0)</f>
        <v>419</v>
      </c>
      <c r="N421" s="791" t="s">
        <v>3782</v>
      </c>
      <c r="O421" s="791" t="s">
        <v>3783</v>
      </c>
      <c r="Q421" s="288" t="str">
        <f>IFERROR(VLOOKUP(ROWS($Q$3:Q421),$M$3:$N$718,2,0),"")</f>
        <v>Velkoobchod s farmaceutickými a zdravotnickými výrobky</v>
      </c>
      <c r="R421">
        <f>IF(ISNUMBER(SEARCH('1Př1'!$A$32,N421)),MAX($M$2:M420)+1,0)</f>
        <v>419</v>
      </c>
      <c r="S421" s="287" t="s">
        <v>1842</v>
      </c>
      <c r="T421" t="str">
        <f>IFERROR(VLOOKUP(ROWS($T$3:T421),$R$3:$S$718,2,0),"")</f>
        <v>Výroba pletených a háčkovaných materiálů</v>
      </c>
      <c r="U421">
        <f>IF(ISNUMBER(SEARCH('1Př1'!$A$33,N421)),MAX($M$2:M420)+1,0)</f>
        <v>419</v>
      </c>
      <c r="V421" s="287" t="s">
        <v>1842</v>
      </c>
      <c r="W421" t="str">
        <f>IFERROR(VLOOKUP(ROWS($W$3:W421),$U$3:$V$718,2,0),"")</f>
        <v>Výroba pletených a háčkovaných materiálů</v>
      </c>
      <c r="X421">
        <f>IF(ISNUMBER(SEARCH('1Př1'!$A$34,N421)),MAX($M$2:M420)+1,0)</f>
        <v>419</v>
      </c>
      <c r="Y421" s="287" t="s">
        <v>1842</v>
      </c>
      <c r="Z421" t="str">
        <f>IFERROR(VLOOKUP(ROWS($Z$3:Z421),$X$3:$Y$718,2,0),"")</f>
        <v>Výroba pletených a háčkovaných materiálů</v>
      </c>
    </row>
    <row r="422" spans="13:26">
      <c r="M422" s="286">
        <f>IF(ISNUMBER(SEARCH(ZAKL_DATA!$B$29,N422)),MAX($M$2:M421)+1,0)</f>
        <v>420</v>
      </c>
      <c r="N422" s="791" t="s">
        <v>2069</v>
      </c>
      <c r="O422" s="791" t="s">
        <v>3784</v>
      </c>
      <c r="Q422" s="288" t="str">
        <f>IFERROR(VLOOKUP(ROWS($Q$3:Q422),$M$3:$N$718,2,0),"")</f>
        <v>Velkoobchod s hodinami, hodinkami a klenoty</v>
      </c>
      <c r="R422">
        <f>IF(ISNUMBER(SEARCH('1Př1'!$A$32,N422)),MAX($M$2:M421)+1,0)</f>
        <v>420</v>
      </c>
      <c r="S422" s="287" t="s">
        <v>1843</v>
      </c>
      <c r="T422" t="str">
        <f>IFERROR(VLOOKUP(ROWS($T$3:T422),$R$3:$S$718,2,0),"")</f>
        <v>Výroba konfekčních textilních výrobků, kromě oděvů</v>
      </c>
      <c r="U422">
        <f>IF(ISNUMBER(SEARCH('1Př1'!$A$33,N422)),MAX($M$2:M421)+1,0)</f>
        <v>420</v>
      </c>
      <c r="V422" s="287" t="s">
        <v>1843</v>
      </c>
      <c r="W422" t="str">
        <f>IFERROR(VLOOKUP(ROWS($W$3:W422),$U$3:$V$718,2,0),"")</f>
        <v>Výroba konfekčních textilních výrobků, kromě oděvů</v>
      </c>
      <c r="X422">
        <f>IF(ISNUMBER(SEARCH('1Př1'!$A$34,N422)),MAX($M$2:M421)+1,0)</f>
        <v>420</v>
      </c>
      <c r="Y422" s="287" t="s">
        <v>1843</v>
      </c>
      <c r="Z422" t="str">
        <f>IFERROR(VLOOKUP(ROWS($Z$3:Z422),$X$3:$Y$718,2,0),"")</f>
        <v>Výroba konfekčních textilních výrobků, kromě oděvů</v>
      </c>
    </row>
    <row r="423" spans="13:26">
      <c r="M423" s="286">
        <f>IF(ISNUMBER(SEARCH(ZAKL_DATA!$B$29,N423)),MAX($M$2:M422)+1,0)</f>
        <v>421</v>
      </c>
      <c r="N423" s="791" t="s">
        <v>2084</v>
      </c>
      <c r="O423" s="791" t="s">
        <v>3785</v>
      </c>
      <c r="Q423" s="288" t="str">
        <f>IFERROR(VLOOKUP(ROWS($Q$3:Q423),$M$3:$N$718,2,0),"")</f>
        <v>Velkoobchod s chemickými výrobky</v>
      </c>
      <c r="R423">
        <f>IF(ISNUMBER(SEARCH('1Př1'!$A$32,N423)),MAX($M$2:M422)+1,0)</f>
        <v>421</v>
      </c>
      <c r="S423" s="287" t="s">
        <v>1844</v>
      </c>
      <c r="T423" t="str">
        <f>IFERROR(VLOOKUP(ROWS($T$3:T423),$R$3:$S$718,2,0),"")</f>
        <v>Výroba koberců a kobercových předložek</v>
      </c>
      <c r="U423">
        <f>IF(ISNUMBER(SEARCH('1Př1'!$A$33,N423)),MAX($M$2:M422)+1,0)</f>
        <v>421</v>
      </c>
      <c r="V423" s="287" t="s">
        <v>1844</v>
      </c>
      <c r="W423" t="str">
        <f>IFERROR(VLOOKUP(ROWS($W$3:W423),$U$3:$V$718,2,0),"")</f>
        <v>Výroba koberců a kobercových předložek</v>
      </c>
      <c r="X423">
        <f>IF(ISNUMBER(SEARCH('1Př1'!$A$34,N423)),MAX($M$2:M422)+1,0)</f>
        <v>421</v>
      </c>
      <c r="Y423" s="287" t="s">
        <v>1844</v>
      </c>
      <c r="Z423" t="str">
        <f>IFERROR(VLOOKUP(ROWS($Z$3:Z423),$X$3:$Y$718,2,0),"")</f>
        <v>Výroba koberců a kobercových předložek</v>
      </c>
    </row>
    <row r="424" spans="13:26">
      <c r="M424" s="286">
        <f>IF(ISNUMBER(SEARCH(ZAKL_DATA!$B$29,N424)),MAX($M$2:M423)+1,0)</f>
        <v>422</v>
      </c>
      <c r="N424" s="791" t="s">
        <v>2059</v>
      </c>
      <c r="O424" s="791" t="s">
        <v>3786</v>
      </c>
      <c r="Q424" s="288" t="str">
        <f>IFERROR(VLOOKUP(ROWS($Q$3:Q424),$M$3:$N$718,2,0),"")</f>
        <v>Velkoobchod s kávou, čajem, kakaem a kořením</v>
      </c>
      <c r="R424">
        <f>IF(ISNUMBER(SEARCH('1Př1'!$A$32,N424)),MAX($M$2:M423)+1,0)</f>
        <v>422</v>
      </c>
      <c r="S424" s="287" t="s">
        <v>1845</v>
      </c>
      <c r="T424" t="str">
        <f>IFERROR(VLOOKUP(ROWS($T$3:T424),$R$3:$S$718,2,0),"")</f>
        <v>Výroba lan, provazů a síťovaných výrobků</v>
      </c>
      <c r="U424">
        <f>IF(ISNUMBER(SEARCH('1Př1'!$A$33,N424)),MAX($M$2:M423)+1,0)</f>
        <v>422</v>
      </c>
      <c r="V424" s="287" t="s">
        <v>1845</v>
      </c>
      <c r="W424" t="str">
        <f>IFERROR(VLOOKUP(ROWS($W$3:W424),$U$3:$V$718,2,0),"")</f>
        <v>Výroba lan, provazů a síťovaných výrobků</v>
      </c>
      <c r="X424">
        <f>IF(ISNUMBER(SEARCH('1Př1'!$A$34,N424)),MAX($M$2:M423)+1,0)</f>
        <v>422</v>
      </c>
      <c r="Y424" s="287" t="s">
        <v>1845</v>
      </c>
      <c r="Z424" t="str">
        <f>IFERROR(VLOOKUP(ROWS($Z$3:Z424),$X$3:$Y$718,2,0),"")</f>
        <v>Výroba lan, provazů a síťovaných výrobků</v>
      </c>
    </row>
    <row r="425" spans="13:26">
      <c r="M425" s="286">
        <f>IF(ISNUMBER(SEARCH(ZAKL_DATA!$B$29,N425)),MAX($M$2:M424)+1,0)</f>
        <v>423</v>
      </c>
      <c r="N425" s="791" t="s">
        <v>2050</v>
      </c>
      <c r="O425" s="791" t="s">
        <v>3787</v>
      </c>
      <c r="Q425" s="288" t="str">
        <f>IFERROR(VLOOKUP(ROWS($Q$3:Q425),$M$3:$N$718,2,0),"")</f>
        <v>Velkoobchod s květinami a jinými rostlinami</v>
      </c>
      <c r="R425">
        <f>IF(ISNUMBER(SEARCH('1Př1'!$A$32,N425)),MAX($M$2:M424)+1,0)</f>
        <v>423</v>
      </c>
      <c r="S425" s="287" t="s">
        <v>1846</v>
      </c>
      <c r="T425" t="str">
        <f>IFERROR(VLOOKUP(ROWS($T$3:T425),$R$3:$S$718,2,0),"")</f>
        <v>Výroba netkaných textilií a výrobků z nich, kromě oděvů</v>
      </c>
      <c r="U425">
        <f>IF(ISNUMBER(SEARCH('1Př1'!$A$33,N425)),MAX($M$2:M424)+1,0)</f>
        <v>423</v>
      </c>
      <c r="V425" s="287" t="s">
        <v>1846</v>
      </c>
      <c r="W425" t="str">
        <f>IFERROR(VLOOKUP(ROWS($W$3:W425),$U$3:$V$718,2,0),"")</f>
        <v>Výroba netkaných textilií a výrobků z nich, kromě oděvů</v>
      </c>
      <c r="X425">
        <f>IF(ISNUMBER(SEARCH('1Př1'!$A$34,N425)),MAX($M$2:M424)+1,0)</f>
        <v>423</v>
      </c>
      <c r="Y425" s="287" t="s">
        <v>1846</v>
      </c>
      <c r="Z425" t="str">
        <f>IFERROR(VLOOKUP(ROWS($Z$3:Z425),$X$3:$Y$718,2,0),"")</f>
        <v>Výroba netkaných textilií a výrobků z nich, kromě oděvů</v>
      </c>
    </row>
    <row r="426" spans="13:26" ht="25.5">
      <c r="M426" s="286">
        <f>IF(ISNUMBER(SEARCH(ZAKL_DATA!$B$29,N426)),MAX($M$2:M425)+1,0)</f>
        <v>424</v>
      </c>
      <c r="N426" s="791" t="s">
        <v>3788</v>
      </c>
      <c r="O426" s="791" t="s">
        <v>3789</v>
      </c>
      <c r="Q426" s="288" t="str">
        <f>IFERROR(VLOOKUP(ROWS($Q$3:Q426),$M$3:$N$718,2,0),"")</f>
        <v>Velkoobchod s masem, masnými výrobky, rybami a rybími výrobky</v>
      </c>
      <c r="R426">
        <f>IF(ISNUMBER(SEARCH('1Př1'!$A$32,N426)),MAX($M$2:M425)+1,0)</f>
        <v>424</v>
      </c>
      <c r="S426" s="287" t="s">
        <v>1847</v>
      </c>
      <c r="T426" t="str">
        <f>IFERROR(VLOOKUP(ROWS($T$3:T426),$R$3:$S$718,2,0),"")</f>
        <v>Výroba ostatních technických a průmyslových textilií</v>
      </c>
      <c r="U426">
        <f>IF(ISNUMBER(SEARCH('1Př1'!$A$33,N426)),MAX($M$2:M425)+1,0)</f>
        <v>424</v>
      </c>
      <c r="V426" s="287" t="s">
        <v>1847</v>
      </c>
      <c r="W426" t="str">
        <f>IFERROR(VLOOKUP(ROWS($W$3:W426),$U$3:$V$718,2,0),"")</f>
        <v>Výroba ostatních technických a průmyslových textilií</v>
      </c>
      <c r="X426">
        <f>IF(ISNUMBER(SEARCH('1Př1'!$A$34,N426)),MAX($M$2:M425)+1,0)</f>
        <v>424</v>
      </c>
      <c r="Y426" s="287" t="s">
        <v>1847</v>
      </c>
      <c r="Z426" t="str">
        <f>IFERROR(VLOOKUP(ROWS($Z$3:Z426),$X$3:$Y$718,2,0),"")</f>
        <v>Výroba ostatních technických a průmyslových textilií</v>
      </c>
    </row>
    <row r="427" spans="13:26" ht="25.5">
      <c r="M427" s="286">
        <f>IF(ISNUMBER(SEARCH(ZAKL_DATA!$B$29,N427)),MAX($M$2:M426)+1,0)</f>
        <v>425</v>
      </c>
      <c r="N427" s="791" t="s">
        <v>2055</v>
      </c>
      <c r="O427" s="791" t="s">
        <v>3790</v>
      </c>
      <c r="Q427" s="288" t="str">
        <f>IFERROR(VLOOKUP(ROWS($Q$3:Q427),$M$3:$N$718,2,0),"")</f>
        <v>Velkoobchod s mléčnými výrobky, vejci, jedlými oleji a tuky</v>
      </c>
      <c r="R427">
        <f>IF(ISNUMBER(SEARCH('1Př1'!$A$32,N427)),MAX($M$2:M426)+1,0)</f>
        <v>425</v>
      </c>
      <c r="S427" s="287" t="s">
        <v>1848</v>
      </c>
      <c r="T427" t="str">
        <f>IFERROR(VLOOKUP(ROWS($T$3:T427),$R$3:$S$718,2,0),"")</f>
        <v>Výroba ostatních textilií j. n.</v>
      </c>
      <c r="U427">
        <f>IF(ISNUMBER(SEARCH('1Př1'!$A$33,N427)),MAX($M$2:M426)+1,0)</f>
        <v>425</v>
      </c>
      <c r="V427" s="287" t="s">
        <v>1848</v>
      </c>
      <c r="W427" t="str">
        <f>IFERROR(VLOOKUP(ROWS($W$3:W427),$U$3:$V$718,2,0),"")</f>
        <v>Výroba ostatních textilií j. n.</v>
      </c>
      <c r="X427">
        <f>IF(ISNUMBER(SEARCH('1Př1'!$A$34,N427)),MAX($M$2:M426)+1,0)</f>
        <v>425</v>
      </c>
      <c r="Y427" s="287" t="s">
        <v>1848</v>
      </c>
      <c r="Z427" t="str">
        <f>IFERROR(VLOOKUP(ROWS($Z$3:Z427),$X$3:$Y$718,2,0),"")</f>
        <v>Výroba ostatních textilií j. n.</v>
      </c>
    </row>
    <row r="428" spans="13:26" ht="25.5">
      <c r="M428" s="286">
        <f>IF(ISNUMBER(SEARCH(ZAKL_DATA!$B$29,N428)),MAX($M$2:M427)+1,0)</f>
        <v>426</v>
      </c>
      <c r="N428" s="791" t="s">
        <v>3791</v>
      </c>
      <c r="O428" s="791" t="s">
        <v>3792</v>
      </c>
      <c r="Q428" s="288" t="str">
        <f>IFERROR(VLOOKUP(ROWS($Q$3:Q428),$M$3:$N$718,2,0),"")</f>
        <v>Velkoobchod s motocykly a jejich díly a příslušenstvím</v>
      </c>
      <c r="R428">
        <f>IF(ISNUMBER(SEARCH('1Př1'!$A$32,N428)),MAX($M$2:M427)+1,0)</f>
        <v>426</v>
      </c>
      <c r="S428" s="287" t="s">
        <v>1849</v>
      </c>
      <c r="T428" t="str">
        <f>IFERROR(VLOOKUP(ROWS($T$3:T428),$R$3:$S$718,2,0),"")</f>
        <v>Výroba kožených oděvů</v>
      </c>
      <c r="U428">
        <f>IF(ISNUMBER(SEARCH('1Př1'!$A$33,N428)),MAX($M$2:M427)+1,0)</f>
        <v>426</v>
      </c>
      <c r="V428" s="287" t="s">
        <v>1849</v>
      </c>
      <c r="W428" t="str">
        <f>IFERROR(VLOOKUP(ROWS($W$3:W428),$U$3:$V$718,2,0),"")</f>
        <v>Výroba kožených oděvů</v>
      </c>
      <c r="X428">
        <f>IF(ISNUMBER(SEARCH('1Př1'!$A$34,N428)),MAX($M$2:M427)+1,0)</f>
        <v>426</v>
      </c>
      <c r="Y428" s="287" t="s">
        <v>1849</v>
      </c>
      <c r="Z428" t="str">
        <f>IFERROR(VLOOKUP(ROWS($Z$3:Z428),$X$3:$Y$718,2,0),"")</f>
        <v>Výroba kožených oděvů</v>
      </c>
    </row>
    <row r="429" spans="13:26">
      <c r="M429" s="286">
        <f>IF(ISNUMBER(SEARCH(ZAKL_DATA!$B$29,N429)),MAX($M$2:M428)+1,0)</f>
        <v>427</v>
      </c>
      <c r="N429" s="791" t="s">
        <v>3793</v>
      </c>
      <c r="O429" s="791" t="s">
        <v>3794</v>
      </c>
      <c r="Q429" s="288" t="str">
        <f>IFERROR(VLOOKUP(ROWS($Q$3:Q429),$M$3:$N$718,2,0),"")</f>
        <v>Velkoobchod s motorovými vozidly</v>
      </c>
      <c r="R429">
        <f>IF(ISNUMBER(SEARCH('1Př1'!$A$32,N429)),MAX($M$2:M428)+1,0)</f>
        <v>427</v>
      </c>
      <c r="S429" s="287" t="s">
        <v>1850</v>
      </c>
      <c r="T429" t="str">
        <f>IFERROR(VLOOKUP(ROWS($T$3:T429),$R$3:$S$718,2,0),"")</f>
        <v>Výroba pracovních oděvů</v>
      </c>
      <c r="U429">
        <f>IF(ISNUMBER(SEARCH('1Př1'!$A$33,N429)),MAX($M$2:M428)+1,0)</f>
        <v>427</v>
      </c>
      <c r="V429" s="287" t="s">
        <v>1850</v>
      </c>
      <c r="W429" t="str">
        <f>IFERROR(VLOOKUP(ROWS($W$3:W429),$U$3:$V$718,2,0),"")</f>
        <v>Výroba pracovních oděvů</v>
      </c>
      <c r="X429">
        <f>IF(ISNUMBER(SEARCH('1Př1'!$A$34,N429)),MAX($M$2:M428)+1,0)</f>
        <v>427</v>
      </c>
      <c r="Y429" s="287" t="s">
        <v>1850</v>
      </c>
      <c r="Z429" t="str">
        <f>IFERROR(VLOOKUP(ROWS($Z$3:Z429),$X$3:$Y$718,2,0),"")</f>
        <v>Výroba pracovních oděvů</v>
      </c>
    </row>
    <row r="430" spans="13:26" ht="25.5">
      <c r="M430" s="286">
        <f>IF(ISNUMBER(SEARCH(ZAKL_DATA!$B$29,N430)),MAX($M$2:M429)+1,0)</f>
        <v>428</v>
      </c>
      <c r="N430" s="791" t="s">
        <v>3795</v>
      </c>
      <c r="O430" s="791" t="s">
        <v>3796</v>
      </c>
      <c r="Q430" s="288" t="str">
        <f>IFERROR(VLOOKUP(ROWS($Q$3:Q430),$M$3:$N$718,2,0),"")</f>
        <v>Velkoobchod s nábytkem, koberci a osvětlovacími zařízeními pro domácnosti, kanceláře a obchody</v>
      </c>
      <c r="R430">
        <f>IF(ISNUMBER(SEARCH('1Př1'!$A$32,N430)),MAX($M$2:M429)+1,0)</f>
        <v>428</v>
      </c>
      <c r="S430" s="287" t="s">
        <v>1851</v>
      </c>
      <c r="T430" t="str">
        <f>IFERROR(VLOOKUP(ROWS($T$3:T430),$R$3:$S$718,2,0),"")</f>
        <v>Výroba ostatních svrchních oděvů</v>
      </c>
      <c r="U430">
        <f>IF(ISNUMBER(SEARCH('1Př1'!$A$33,N430)),MAX($M$2:M429)+1,0)</f>
        <v>428</v>
      </c>
      <c r="V430" s="287" t="s">
        <v>1851</v>
      </c>
      <c r="W430" t="str">
        <f>IFERROR(VLOOKUP(ROWS($W$3:W430),$U$3:$V$718,2,0),"")</f>
        <v>Výroba ostatních svrchních oděvů</v>
      </c>
      <c r="X430">
        <f>IF(ISNUMBER(SEARCH('1Př1'!$A$34,N430)),MAX($M$2:M429)+1,0)</f>
        <v>428</v>
      </c>
      <c r="Y430" s="287" t="s">
        <v>1851</v>
      </c>
      <c r="Z430" t="str">
        <f>IFERROR(VLOOKUP(ROWS($Z$3:Z430),$X$3:$Y$718,2,0),"")</f>
        <v>Výroba ostatních svrchních oděvů</v>
      </c>
    </row>
    <row r="431" spans="13:26">
      <c r="M431" s="286">
        <f>IF(ISNUMBER(SEARCH(ZAKL_DATA!$B$29,N431)),MAX($M$2:M430)+1,0)</f>
        <v>429</v>
      </c>
      <c r="N431" s="791" t="s">
        <v>2056</v>
      </c>
      <c r="O431" s="791" t="s">
        <v>3797</v>
      </c>
      <c r="Q431" s="288" t="str">
        <f>IFERROR(VLOOKUP(ROWS($Q$3:Q431),$M$3:$N$718,2,0),"")</f>
        <v>Velkoobchod s nápoji</v>
      </c>
      <c r="R431">
        <f>IF(ISNUMBER(SEARCH('1Př1'!$A$32,N431)),MAX($M$2:M430)+1,0)</f>
        <v>429</v>
      </c>
      <c r="S431" s="287" t="s">
        <v>1852</v>
      </c>
      <c r="T431" t="str">
        <f>IFERROR(VLOOKUP(ROWS($T$3:T431),$R$3:$S$718,2,0),"")</f>
        <v>Výroba osobního prádla</v>
      </c>
      <c r="U431">
        <f>IF(ISNUMBER(SEARCH('1Př1'!$A$33,N431)),MAX($M$2:M430)+1,0)</f>
        <v>429</v>
      </c>
      <c r="V431" s="287" t="s">
        <v>1852</v>
      </c>
      <c r="W431" t="str">
        <f>IFERROR(VLOOKUP(ROWS($W$3:W431),$U$3:$V$718,2,0),"")</f>
        <v>Výroba osobního prádla</v>
      </c>
      <c r="X431">
        <f>IF(ISNUMBER(SEARCH('1Př1'!$A$34,N431)),MAX($M$2:M430)+1,0)</f>
        <v>429</v>
      </c>
      <c r="Y431" s="287" t="s">
        <v>1852</v>
      </c>
      <c r="Z431" t="str">
        <f>IFERROR(VLOOKUP(ROWS($Z$3:Z431),$X$3:$Y$718,2,0),"")</f>
        <v>Výroba osobního prádla</v>
      </c>
    </row>
    <row r="432" spans="13:26" ht="25.5">
      <c r="M432" s="286">
        <f>IF(ISNUMBER(SEARCH(ZAKL_DATA!$B$29,N432)),MAX($M$2:M431)+1,0)</f>
        <v>430</v>
      </c>
      <c r="N432" s="791" t="s">
        <v>2049</v>
      </c>
      <c r="O432" s="791" t="s">
        <v>3798</v>
      </c>
      <c r="Q432" s="288" t="str">
        <f>IFERROR(VLOOKUP(ROWS($Q$3:Q432),$M$3:$N$718,2,0),"")</f>
        <v>Velkoobchod s obilím, surovým tabákem, osivy a krmivy</v>
      </c>
      <c r="R432">
        <f>IF(ISNUMBER(SEARCH('1Př1'!$A$32,N432)),MAX($M$2:M431)+1,0)</f>
        <v>430</v>
      </c>
      <c r="S432" s="287" t="s">
        <v>1853</v>
      </c>
      <c r="T432" t="str">
        <f>IFERROR(VLOOKUP(ROWS($T$3:T432),$R$3:$S$718,2,0),"")</f>
        <v>Výroba ostatních oděvů a oděvních doplňků</v>
      </c>
      <c r="U432">
        <f>IF(ISNUMBER(SEARCH('1Př1'!$A$33,N432)),MAX($M$2:M431)+1,0)</f>
        <v>430</v>
      </c>
      <c r="V432" s="287" t="s">
        <v>1853</v>
      </c>
      <c r="W432" t="str">
        <f>IFERROR(VLOOKUP(ROWS($W$3:W432),$U$3:$V$718,2,0),"")</f>
        <v>Výroba ostatních oděvů a oděvních doplňků</v>
      </c>
      <c r="X432">
        <f>IF(ISNUMBER(SEARCH('1Př1'!$A$34,N432)),MAX($M$2:M431)+1,0)</f>
        <v>430</v>
      </c>
      <c r="Y432" s="287" t="s">
        <v>1853</v>
      </c>
      <c r="Z432" t="str">
        <f>IFERROR(VLOOKUP(ROWS($Z$3:Z432),$X$3:$Y$718,2,0),"")</f>
        <v>Výroba ostatních oděvů a oděvních doplňků</v>
      </c>
    </row>
    <row r="433" spans="13:26">
      <c r="M433" s="286">
        <f>IF(ISNUMBER(SEARCH(ZAKL_DATA!$B$29,N433)),MAX($M$2:M432)+1,0)</f>
        <v>431</v>
      </c>
      <c r="N433" s="791" t="s">
        <v>2074</v>
      </c>
      <c r="O433" s="791" t="s">
        <v>3799</v>
      </c>
      <c r="Q433" s="288" t="str">
        <f>IFERROR(VLOOKUP(ROWS($Q$3:Q433),$M$3:$N$718,2,0),"")</f>
        <v>Velkoobchod s obráběcími stroji</v>
      </c>
      <c r="R433">
        <f>IF(ISNUMBER(SEARCH('1Př1'!$A$32,N433)),MAX($M$2:M432)+1,0)</f>
        <v>431</v>
      </c>
      <c r="S433" s="287" t="s">
        <v>1854</v>
      </c>
      <c r="T433" t="str">
        <f>IFERROR(VLOOKUP(ROWS($T$3:T433),$R$3:$S$718,2,0),"")</f>
        <v>Výroba pletených a háčkovaných punčochových výrobků</v>
      </c>
      <c r="U433">
        <f>IF(ISNUMBER(SEARCH('1Př1'!$A$33,N433)),MAX($M$2:M432)+1,0)</f>
        <v>431</v>
      </c>
      <c r="V433" s="287" t="s">
        <v>1854</v>
      </c>
      <c r="W433" t="str">
        <f>IFERROR(VLOOKUP(ROWS($W$3:W433),$U$3:$V$718,2,0),"")</f>
        <v>Výroba pletených a háčkovaných punčochových výrobků</v>
      </c>
      <c r="X433">
        <f>IF(ISNUMBER(SEARCH('1Př1'!$A$34,N433)),MAX($M$2:M432)+1,0)</f>
        <v>431</v>
      </c>
      <c r="Y433" s="287" t="s">
        <v>1854</v>
      </c>
      <c r="Z433" t="str">
        <f>IFERROR(VLOOKUP(ROWS($Z$3:Z433),$X$3:$Y$718,2,0),"")</f>
        <v>Výroba pletených a háčkovaných punčochových výrobků</v>
      </c>
    </row>
    <row r="434" spans="13:26">
      <c r="M434" s="286">
        <f>IF(ISNUMBER(SEARCH(ZAKL_DATA!$B$29,N434)),MAX($M$2:M433)+1,0)</f>
        <v>432</v>
      </c>
      <c r="N434" s="791" t="s">
        <v>2063</v>
      </c>
      <c r="O434" s="791" t="s">
        <v>3800</v>
      </c>
      <c r="Q434" s="288" t="str">
        <f>IFERROR(VLOOKUP(ROWS($Q$3:Q434),$M$3:$N$718,2,0),"")</f>
        <v>Velkoobchod s oděvy a obuví</v>
      </c>
      <c r="R434">
        <f>IF(ISNUMBER(SEARCH('1Př1'!$A$32,N434)),MAX($M$2:M433)+1,0)</f>
        <v>432</v>
      </c>
      <c r="S434" s="287" t="s">
        <v>1855</v>
      </c>
      <c r="T434" t="str">
        <f>IFERROR(VLOOKUP(ROWS($T$3:T434),$R$3:$S$718,2,0),"")</f>
        <v>Výroba ostatních pletených a háčkovaných oděvů</v>
      </c>
      <c r="U434">
        <f>IF(ISNUMBER(SEARCH('1Př1'!$A$33,N434)),MAX($M$2:M433)+1,0)</f>
        <v>432</v>
      </c>
      <c r="V434" s="287" t="s">
        <v>1855</v>
      </c>
      <c r="W434" t="str">
        <f>IFERROR(VLOOKUP(ROWS($W$3:W434),$U$3:$V$718,2,0),"")</f>
        <v>Výroba ostatních pletených a háčkovaných oděvů</v>
      </c>
      <c r="X434">
        <f>IF(ISNUMBER(SEARCH('1Př1'!$A$34,N434)),MAX($M$2:M433)+1,0)</f>
        <v>432</v>
      </c>
      <c r="Y434" s="287" t="s">
        <v>1855</v>
      </c>
      <c r="Z434" t="str">
        <f>IFERROR(VLOOKUP(ROWS($Z$3:Z434),$X$3:$Y$718,2,0),"")</f>
        <v>Výroba ostatních pletených a háčkovaných oděvů</v>
      </c>
    </row>
    <row r="435" spans="13:26">
      <c r="M435" s="286">
        <f>IF(ISNUMBER(SEARCH(ZAKL_DATA!$B$29,N435)),MAX($M$2:M434)+1,0)</f>
        <v>433</v>
      </c>
      <c r="N435" s="791" t="s">
        <v>2086</v>
      </c>
      <c r="O435" s="791" t="s">
        <v>3801</v>
      </c>
      <c r="Q435" s="288" t="str">
        <f>IFERROR(VLOOKUP(ROWS($Q$3:Q435),$M$3:$N$718,2,0),"")</f>
        <v>Velkoobchod s odpadem a šrotem</v>
      </c>
      <c r="R435">
        <f>IF(ISNUMBER(SEARCH('1Př1'!$A$32,N435)),MAX($M$2:M434)+1,0)</f>
        <v>433</v>
      </c>
      <c r="S435" s="287" t="s">
        <v>1856</v>
      </c>
      <c r="T435" t="str">
        <f>IFERROR(VLOOKUP(ROWS($T$3:T435),$R$3:$S$718,2,0),"")</f>
        <v>Chov drobných hospodářských zvířat</v>
      </c>
      <c r="U435">
        <f>IF(ISNUMBER(SEARCH('1Př1'!$A$33,N435)),MAX($M$2:M434)+1,0)</f>
        <v>433</v>
      </c>
      <c r="V435" s="287" t="s">
        <v>1856</v>
      </c>
      <c r="W435" t="str">
        <f>IFERROR(VLOOKUP(ROWS($W$3:W435),$U$3:$V$718,2,0),"")</f>
        <v>Chov drobných hospodářských zvířat</v>
      </c>
      <c r="X435">
        <f>IF(ISNUMBER(SEARCH('1Př1'!$A$34,N435)),MAX($M$2:M434)+1,0)</f>
        <v>433</v>
      </c>
      <c r="Y435" s="287" t="s">
        <v>1856</v>
      </c>
      <c r="Z435" t="str">
        <f>IFERROR(VLOOKUP(ROWS($Z$3:Z435),$X$3:$Y$718,2,0),"")</f>
        <v>Chov drobných hospodářských zvířat</v>
      </c>
    </row>
    <row r="436" spans="13:26">
      <c r="M436" s="286">
        <f>IF(ISNUMBER(SEARCH(ZAKL_DATA!$B$29,N436)),MAX($M$2:M435)+1,0)</f>
        <v>434</v>
      </c>
      <c r="N436" s="791" t="s">
        <v>2085</v>
      </c>
      <c r="O436" s="791" t="s">
        <v>3802</v>
      </c>
      <c r="Q436" s="288" t="str">
        <f>IFERROR(VLOOKUP(ROWS($Q$3:Q436),$M$3:$N$718,2,0),"")</f>
        <v>Velkoobchod s ostatními meziprodukty</v>
      </c>
      <c r="R436">
        <f>IF(ISNUMBER(SEARCH('1Př1'!$A$32,N436)),MAX($M$2:M435)+1,0)</f>
        <v>434</v>
      </c>
      <c r="S436" s="287" t="s">
        <v>1857</v>
      </c>
      <c r="T436" t="str">
        <f>IFERROR(VLOOKUP(ROWS($T$3:T436),$R$3:$S$718,2,0),"")</f>
        <v>Chov kožešinových zvířat</v>
      </c>
      <c r="U436">
        <f>IF(ISNUMBER(SEARCH('1Př1'!$A$33,N436)),MAX($M$2:M435)+1,0)</f>
        <v>434</v>
      </c>
      <c r="V436" s="287" t="s">
        <v>1857</v>
      </c>
      <c r="W436" t="str">
        <f>IFERROR(VLOOKUP(ROWS($W$3:W436),$U$3:$V$718,2,0),"")</f>
        <v>Chov kožešinových zvířat</v>
      </c>
      <c r="X436">
        <f>IF(ISNUMBER(SEARCH('1Př1'!$A$34,N436)),MAX($M$2:M435)+1,0)</f>
        <v>434</v>
      </c>
      <c r="Y436" s="287" t="s">
        <v>1857</v>
      </c>
      <c r="Z436" t="str">
        <f>IFERROR(VLOOKUP(ROWS($Z$3:Z436),$X$3:$Y$718,2,0),"")</f>
        <v>Chov kožešinových zvířat</v>
      </c>
    </row>
    <row r="437" spans="13:26">
      <c r="M437" s="286">
        <f>IF(ISNUMBER(SEARCH(ZAKL_DATA!$B$29,N437)),MAX($M$2:M436)+1,0)</f>
        <v>435</v>
      </c>
      <c r="N437" s="791" t="s">
        <v>2079</v>
      </c>
      <c r="O437" s="791" t="s">
        <v>3803</v>
      </c>
      <c r="Q437" s="288" t="str">
        <f>IFERROR(VLOOKUP(ROWS($Q$3:Q437),$M$3:$N$718,2,0),"")</f>
        <v>Velkoobchod s ostatními stroji a zařízením</v>
      </c>
      <c r="R437">
        <f>IF(ISNUMBER(SEARCH('1Př1'!$A$32,N437)),MAX($M$2:M436)+1,0)</f>
        <v>435</v>
      </c>
      <c r="S437" s="287" t="s">
        <v>1858</v>
      </c>
      <c r="T437" t="str">
        <f>IFERROR(VLOOKUP(ROWS($T$3:T437),$R$3:$S$718,2,0),"")</f>
        <v>Chov zvířat pro zájmový chov</v>
      </c>
      <c r="U437">
        <f>IF(ISNUMBER(SEARCH('1Př1'!$A$33,N437)),MAX($M$2:M436)+1,0)</f>
        <v>435</v>
      </c>
      <c r="V437" s="287" t="s">
        <v>1858</v>
      </c>
      <c r="W437" t="str">
        <f>IFERROR(VLOOKUP(ROWS($W$3:W437),$U$3:$V$718,2,0),"")</f>
        <v>Chov zvířat pro zájmový chov</v>
      </c>
      <c r="X437">
        <f>IF(ISNUMBER(SEARCH('1Př1'!$A$34,N437)),MAX($M$2:M436)+1,0)</f>
        <v>435</v>
      </c>
      <c r="Y437" s="287" t="s">
        <v>1858</v>
      </c>
      <c r="Z437" t="str">
        <f>IFERROR(VLOOKUP(ROWS($Z$3:Z437),$X$3:$Y$718,2,0),"")</f>
        <v>Chov zvířat pro zájmový chov</v>
      </c>
    </row>
    <row r="438" spans="13:26" ht="25.5">
      <c r="M438" s="286">
        <f>IF(ISNUMBER(SEARCH(ZAKL_DATA!$B$29,N438)),MAX($M$2:M437)+1,0)</f>
        <v>436</v>
      </c>
      <c r="N438" s="791" t="s">
        <v>2070</v>
      </c>
      <c r="O438" s="791" t="s">
        <v>3804</v>
      </c>
      <c r="Q438" s="288" t="str">
        <f>IFERROR(VLOOKUP(ROWS($Q$3:Q438),$M$3:$N$718,2,0),"")</f>
        <v>Velkoobchod s ostatními výrobky převážně pro domácnost</v>
      </c>
      <c r="R438">
        <f>IF(ISNUMBER(SEARCH('1Př1'!$A$32,N438)),MAX($M$2:M437)+1,0)</f>
        <v>436</v>
      </c>
      <c r="S438" s="287" t="s">
        <v>1859</v>
      </c>
      <c r="T438" t="str">
        <f>IFERROR(VLOOKUP(ROWS($T$3:T438),$R$3:$S$718,2,0),"")</f>
        <v>Chov ostatních zvířat j. n.</v>
      </c>
      <c r="U438">
        <f>IF(ISNUMBER(SEARCH('1Př1'!$A$33,N438)),MAX($M$2:M437)+1,0)</f>
        <v>436</v>
      </c>
      <c r="V438" s="287" t="s">
        <v>1859</v>
      </c>
      <c r="W438" t="str">
        <f>IFERROR(VLOOKUP(ROWS($W$3:W438),$U$3:$V$718,2,0),"")</f>
        <v>Chov ostatních zvířat j. n.</v>
      </c>
      <c r="X438">
        <f>IF(ISNUMBER(SEARCH('1Př1'!$A$34,N438)),MAX($M$2:M437)+1,0)</f>
        <v>436</v>
      </c>
      <c r="Y438" s="287" t="s">
        <v>1859</v>
      </c>
      <c r="Z438" t="str">
        <f>IFERROR(VLOOKUP(ROWS($Z$3:Z438),$X$3:$Y$718,2,0),"")</f>
        <v>Chov ostatních zvířat j. n.</v>
      </c>
    </row>
    <row r="439" spans="13:26">
      <c r="M439" s="286">
        <f>IF(ISNUMBER(SEARCH(ZAKL_DATA!$B$29,N439)),MAX($M$2:M438)+1,0)</f>
        <v>437</v>
      </c>
      <c r="N439" s="791" t="s">
        <v>2053</v>
      </c>
      <c r="O439" s="791" t="s">
        <v>3805</v>
      </c>
      <c r="Q439" s="288" t="str">
        <f>IFERROR(VLOOKUP(ROWS($Q$3:Q439),$M$3:$N$718,2,0),"")</f>
        <v>Velkoobchod s ovocem a zeleninou</v>
      </c>
      <c r="R439">
        <f>IF(ISNUMBER(SEARCH('1Př1'!$A$32,N439)),MAX($M$2:M438)+1,0)</f>
        <v>437</v>
      </c>
      <c r="S439" s="287" t="s">
        <v>1860</v>
      </c>
      <c r="T439" t="str">
        <f>IFERROR(VLOOKUP(ROWS($T$3:T439),$R$3:$S$718,2,0),"")</f>
        <v>Činění a úprava usní (vyčiněných kůží); zpracování a barvení kožešin</v>
      </c>
      <c r="U439">
        <f>IF(ISNUMBER(SEARCH('1Př1'!$A$33,N439)),MAX($M$2:M438)+1,0)</f>
        <v>437</v>
      </c>
      <c r="V439" s="287" t="s">
        <v>1860</v>
      </c>
      <c r="W439" t="str">
        <f>IFERROR(VLOOKUP(ROWS($W$3:W439),$U$3:$V$718,2,0),"")</f>
        <v>Činění a úprava usní (vyčiněných kůží); zpracování a barvení kožešin</v>
      </c>
      <c r="X439">
        <f>IF(ISNUMBER(SEARCH('1Př1'!$A$34,N439)),MAX($M$2:M438)+1,0)</f>
        <v>437</v>
      </c>
      <c r="Y439" s="287" t="s">
        <v>1860</v>
      </c>
      <c r="Z439" t="str">
        <f>IFERROR(VLOOKUP(ROWS($Z$3:Z439),$X$3:$Y$718,2,0),"")</f>
        <v>Činění a úprava usní (vyčiněných kůží); zpracování a barvení kožešin</v>
      </c>
    </row>
    <row r="440" spans="13:26">
      <c r="M440" s="286">
        <f>IF(ISNUMBER(SEARCH(ZAKL_DATA!$B$29,N440)),MAX($M$2:M439)+1,0)</f>
        <v>438</v>
      </c>
      <c r="N440" s="791" t="s">
        <v>3806</v>
      </c>
      <c r="O440" s="791" t="s">
        <v>3807</v>
      </c>
      <c r="Q440" s="288" t="str">
        <f>IFERROR(VLOOKUP(ROWS($Q$3:Q440),$M$3:$N$718,2,0),"")</f>
        <v>Velkoobchod s parfémy a kosmetickými přípravky</v>
      </c>
      <c r="R440">
        <f>IF(ISNUMBER(SEARCH('1Př1'!$A$32,N440)),MAX($M$2:M439)+1,0)</f>
        <v>438</v>
      </c>
      <c r="S440" s="287" t="s">
        <v>1861</v>
      </c>
      <c r="T440" t="str">
        <f>IFERROR(VLOOKUP(ROWS($T$3:T440),$R$3:$S$718,2,0),"")</f>
        <v>Výroba brašnářských, sedlářských a podobných výrobků</v>
      </c>
      <c r="U440">
        <f>IF(ISNUMBER(SEARCH('1Př1'!$A$33,N440)),MAX($M$2:M439)+1,0)</f>
        <v>438</v>
      </c>
      <c r="V440" s="287" t="s">
        <v>1861</v>
      </c>
      <c r="W440" t="str">
        <f>IFERROR(VLOOKUP(ROWS($W$3:W440),$U$3:$V$718,2,0),"")</f>
        <v>Výroba brašnářských, sedlářských a podobných výrobků</v>
      </c>
      <c r="X440">
        <f>IF(ISNUMBER(SEARCH('1Př1'!$A$34,N440)),MAX($M$2:M439)+1,0)</f>
        <v>438</v>
      </c>
      <c r="Y440" s="287" t="s">
        <v>1861</v>
      </c>
      <c r="Z440" t="str">
        <f>IFERROR(VLOOKUP(ROWS($Z$3:Z440),$X$3:$Y$718,2,0),"")</f>
        <v>Výroba brašnářských, sedlářských a podobných výrobků</v>
      </c>
    </row>
    <row r="441" spans="13:26" ht="25.5">
      <c r="M441" s="286">
        <f>IF(ISNUMBER(SEARCH(ZAKL_DATA!$B$29,N441)),MAX($M$2:M440)+1,0)</f>
        <v>439</v>
      </c>
      <c r="N441" s="791" t="s">
        <v>2080</v>
      </c>
      <c r="O441" s="791" t="s">
        <v>3808</v>
      </c>
      <c r="Q441" s="288" t="str">
        <f>IFERROR(VLOOKUP(ROWS($Q$3:Q441),$M$3:$N$718,2,0),"")</f>
        <v>Velkoobchod s pevnými, kapalnými a plynnými palivy a příbuznými výrobky</v>
      </c>
      <c r="R441">
        <f>IF(ISNUMBER(SEARCH('1Př1'!$A$32,N441)),MAX($M$2:M440)+1,0)</f>
        <v>439</v>
      </c>
      <c r="S441" s="287" t="s">
        <v>1862</v>
      </c>
      <c r="T441" t="str">
        <f>IFERROR(VLOOKUP(ROWS($T$3:T441),$R$3:$S$718,2,0),"")</f>
        <v>Výroba dýh a desek na bázi dřeva</v>
      </c>
      <c r="U441">
        <f>IF(ISNUMBER(SEARCH('1Př1'!$A$33,N441)),MAX($M$2:M440)+1,0)</f>
        <v>439</v>
      </c>
      <c r="V441" s="287" t="s">
        <v>1862</v>
      </c>
      <c r="W441" t="str">
        <f>IFERROR(VLOOKUP(ROWS($W$3:W441),$U$3:$V$718,2,0),"")</f>
        <v>Výroba dýh a desek na bázi dřeva</v>
      </c>
      <c r="X441">
        <f>IF(ISNUMBER(SEARCH('1Př1'!$A$34,N441)),MAX($M$2:M440)+1,0)</f>
        <v>439</v>
      </c>
      <c r="Y441" s="287" t="s">
        <v>1862</v>
      </c>
      <c r="Z441" t="str">
        <f>IFERROR(VLOOKUP(ROWS($Z$3:Z441),$X$3:$Y$718,2,0),"")</f>
        <v>Výroba dýh a desek na bázi dřeva</v>
      </c>
    </row>
    <row r="442" spans="13:26" ht="25.5">
      <c r="M442" s="286">
        <f>IF(ISNUMBER(SEARCH(ZAKL_DATA!$B$29,N442)),MAX($M$2:M441)+1,0)</f>
        <v>440</v>
      </c>
      <c r="N442" s="791" t="s">
        <v>3809</v>
      </c>
      <c r="O442" s="791" t="s">
        <v>3810</v>
      </c>
      <c r="Q442" s="288" t="str">
        <f>IFERROR(VLOOKUP(ROWS($Q$3:Q442),$M$3:$N$718,2,0),"")</f>
        <v>Velkoobchod s počítačovými a komunikačními zařízeními</v>
      </c>
      <c r="R442">
        <f>IF(ISNUMBER(SEARCH('1Př1'!$A$32,N442)),MAX($M$2:M441)+1,0)</f>
        <v>440</v>
      </c>
      <c r="S442" s="287" t="s">
        <v>1863</v>
      </c>
      <c r="T442" t="str">
        <f>IFERROR(VLOOKUP(ROWS($T$3:T442),$R$3:$S$718,2,0),"")</f>
        <v>Výroba sestavených parketových podlah</v>
      </c>
      <c r="U442">
        <f>IF(ISNUMBER(SEARCH('1Př1'!$A$33,N442)),MAX($M$2:M441)+1,0)</f>
        <v>440</v>
      </c>
      <c r="V442" s="287" t="s">
        <v>1863</v>
      </c>
      <c r="W442" t="str">
        <f>IFERROR(VLOOKUP(ROWS($W$3:W442),$U$3:$V$718,2,0),"")</f>
        <v>Výroba sestavených parketových podlah</v>
      </c>
      <c r="X442">
        <f>IF(ISNUMBER(SEARCH('1Př1'!$A$34,N442)),MAX($M$2:M441)+1,0)</f>
        <v>440</v>
      </c>
      <c r="Y442" s="287" t="s">
        <v>1863</v>
      </c>
      <c r="Z442" t="str">
        <f>IFERROR(VLOOKUP(ROWS($Z$3:Z442),$X$3:$Y$718,2,0),"")</f>
        <v>Výroba sestavených parketových podlah</v>
      </c>
    </row>
    <row r="443" spans="13:26" ht="25.5">
      <c r="M443" s="286">
        <f>IF(ISNUMBER(SEARCH(ZAKL_DATA!$B$29,N443)),MAX($M$2:M442)+1,0)</f>
        <v>441</v>
      </c>
      <c r="N443" s="791" t="s">
        <v>3811</v>
      </c>
      <c r="O443" s="791" t="s">
        <v>3812</v>
      </c>
      <c r="Q443" s="288" t="str">
        <f>IFERROR(VLOOKUP(ROWS($Q$3:Q443),$M$3:$N$718,2,0),"")</f>
        <v>Velkoobchod s porcelánovými, keramickými a skleněnými výrobky a čisticími prostředky</v>
      </c>
      <c r="R443">
        <f>IF(ISNUMBER(SEARCH('1Př1'!$A$32,N443)),MAX($M$2:M442)+1,0)</f>
        <v>441</v>
      </c>
      <c r="S443" s="287" t="s">
        <v>1864</v>
      </c>
      <c r="T443" t="str">
        <f>IFERROR(VLOOKUP(ROWS($T$3:T443),$R$3:$S$718,2,0),"")</f>
        <v>Výroba ostatních výrobků stavebního truhlářství a tesařství</v>
      </c>
      <c r="U443">
        <f>IF(ISNUMBER(SEARCH('1Př1'!$A$33,N443)),MAX($M$2:M442)+1,0)</f>
        <v>441</v>
      </c>
      <c r="V443" s="287" t="s">
        <v>1864</v>
      </c>
      <c r="W443" t="str">
        <f>IFERROR(VLOOKUP(ROWS($W$3:W443),$U$3:$V$718,2,0),"")</f>
        <v>Výroba ostatních výrobků stavebního truhlářství a tesařství</v>
      </c>
      <c r="X443">
        <f>IF(ISNUMBER(SEARCH('1Př1'!$A$34,N443)),MAX($M$2:M442)+1,0)</f>
        <v>441</v>
      </c>
      <c r="Y443" s="287" t="s">
        <v>1864</v>
      </c>
      <c r="Z443" t="str">
        <f>IFERROR(VLOOKUP(ROWS($Z$3:Z443),$X$3:$Y$718,2,0),"")</f>
        <v>Výroba ostatních výrobků stavebního truhlářství a tesařství</v>
      </c>
    </row>
    <row r="444" spans="13:26">
      <c r="M444" s="286">
        <f>IF(ISNUMBER(SEARCH(ZAKL_DATA!$B$29,N444)),MAX($M$2:M443)+1,0)</f>
        <v>442</v>
      </c>
      <c r="N444" s="791" t="s">
        <v>2081</v>
      </c>
      <c r="O444" s="791" t="s">
        <v>3813</v>
      </c>
      <c r="Q444" s="288" t="str">
        <f>IFERROR(VLOOKUP(ROWS($Q$3:Q444),$M$3:$N$718,2,0),"")</f>
        <v>Velkoobchod s rudami, kovy a hutními výrobky</v>
      </c>
      <c r="R444">
        <f>IF(ISNUMBER(SEARCH('1Př1'!$A$32,N444)),MAX($M$2:M443)+1,0)</f>
        <v>442</v>
      </c>
      <c r="S444" s="287" t="s">
        <v>1865</v>
      </c>
      <c r="T444" t="str">
        <f>IFERROR(VLOOKUP(ROWS($T$3:T444),$R$3:$S$718,2,0),"")</f>
        <v>Výroba dřevěných obalů</v>
      </c>
      <c r="U444">
        <f>IF(ISNUMBER(SEARCH('1Př1'!$A$33,N444)),MAX($M$2:M443)+1,0)</f>
        <v>442</v>
      </c>
      <c r="V444" s="287" t="s">
        <v>1865</v>
      </c>
      <c r="W444" t="str">
        <f>IFERROR(VLOOKUP(ROWS($W$3:W444),$U$3:$V$718,2,0),"")</f>
        <v>Výroba dřevěných obalů</v>
      </c>
      <c r="X444">
        <f>IF(ISNUMBER(SEARCH('1Př1'!$A$34,N444)),MAX($M$2:M443)+1,0)</f>
        <v>442</v>
      </c>
      <c r="Y444" s="287" t="s">
        <v>1865</v>
      </c>
      <c r="Z444" t="str">
        <f>IFERROR(VLOOKUP(ROWS($Z$3:Z444),$X$3:$Y$718,2,0),"")</f>
        <v>Výroba dřevěných obalů</v>
      </c>
    </row>
    <row r="445" spans="13:26">
      <c r="M445" s="286">
        <f>IF(ISNUMBER(SEARCH(ZAKL_DATA!$B$29,N445)),MAX($M$2:M444)+1,0)</f>
        <v>443</v>
      </c>
      <c r="N445" s="791" t="s">
        <v>2057</v>
      </c>
      <c r="O445" s="791" t="s">
        <v>3814</v>
      </c>
      <c r="Q445" s="288" t="str">
        <f>IFERROR(VLOOKUP(ROWS($Q$3:Q445),$M$3:$N$718,2,0),"")</f>
        <v>Velkoobchod s tabákovými výrobky</v>
      </c>
      <c r="R445">
        <f>IF(ISNUMBER(SEARCH('1Př1'!$A$32,N445)),MAX($M$2:M444)+1,0)</f>
        <v>443</v>
      </c>
      <c r="S445" s="287" t="s">
        <v>1866</v>
      </c>
      <c r="T445" t="str">
        <f>IFERROR(VLOOKUP(ROWS($T$3:T445),$R$3:$S$718,2,0),"")</f>
        <v>Výroba ost.dřevěných,korkových,proutěných a slaměných výr.,kromě nábytku</v>
      </c>
      <c r="U445">
        <f>IF(ISNUMBER(SEARCH('1Př1'!$A$33,N445)),MAX($M$2:M444)+1,0)</f>
        <v>443</v>
      </c>
      <c r="V445" s="287" t="s">
        <v>1866</v>
      </c>
      <c r="W445" t="str">
        <f>IFERROR(VLOOKUP(ROWS($W$3:W445),$U$3:$V$718,2,0),"")</f>
        <v>Výroba ost.dřevěných,korkových,proutěných a slaměných výr.,kromě nábytku</v>
      </c>
      <c r="X445">
        <f>IF(ISNUMBER(SEARCH('1Př1'!$A$34,N445)),MAX($M$2:M444)+1,0)</f>
        <v>443</v>
      </c>
      <c r="Y445" s="287" t="s">
        <v>1866</v>
      </c>
      <c r="Z445" t="str">
        <f>IFERROR(VLOOKUP(ROWS($Z$3:Z445),$X$3:$Y$718,2,0),"")</f>
        <v>Výroba ost.dřevěných,korkových,proutěných a slaměných výr.,kromě nábytku</v>
      </c>
    </row>
    <row r="446" spans="13:26">
      <c r="M446" s="286">
        <f>IF(ISNUMBER(SEARCH(ZAKL_DATA!$B$29,N446)),MAX($M$2:M445)+1,0)</f>
        <v>444</v>
      </c>
      <c r="N446" s="791" t="s">
        <v>2062</v>
      </c>
      <c r="O446" s="791" t="s">
        <v>3815</v>
      </c>
      <c r="Q446" s="288" t="str">
        <f>IFERROR(VLOOKUP(ROWS($Q$3:Q446),$M$3:$N$718,2,0),"")</f>
        <v>Velkoobchod s textilem</v>
      </c>
      <c r="R446">
        <f>IF(ISNUMBER(SEARCH('1Př1'!$A$32,N446)),MAX($M$2:M445)+1,0)</f>
        <v>444</v>
      </c>
      <c r="S446" s="287" t="s">
        <v>1867</v>
      </c>
      <c r="T446" t="str">
        <f>IFERROR(VLOOKUP(ROWS($T$3:T446),$R$3:$S$718,2,0),"")</f>
        <v>Výroba buničiny</v>
      </c>
      <c r="U446">
        <f>IF(ISNUMBER(SEARCH('1Př1'!$A$33,N446)),MAX($M$2:M445)+1,0)</f>
        <v>444</v>
      </c>
      <c r="V446" s="287" t="s">
        <v>1867</v>
      </c>
      <c r="W446" t="str">
        <f>IFERROR(VLOOKUP(ROWS($W$3:W446),$U$3:$V$718,2,0),"")</f>
        <v>Výroba buničiny</v>
      </c>
      <c r="X446">
        <f>IF(ISNUMBER(SEARCH('1Př1'!$A$34,N446)),MAX($M$2:M445)+1,0)</f>
        <v>444</v>
      </c>
      <c r="Y446" s="287" t="s">
        <v>1867</v>
      </c>
      <c r="Z446" t="str">
        <f>IFERROR(VLOOKUP(ROWS($Z$3:Z446),$X$3:$Y$718,2,0),"")</f>
        <v>Výroba buničiny</v>
      </c>
    </row>
    <row r="447" spans="13:26" ht="25.5">
      <c r="M447" s="286">
        <f>IF(ISNUMBER(SEARCH(ZAKL_DATA!$B$29,N447)),MAX($M$2:M446)+1,0)</f>
        <v>445</v>
      </c>
      <c r="N447" s="791" t="s">
        <v>2075</v>
      </c>
      <c r="O447" s="791" t="s">
        <v>3816</v>
      </c>
      <c r="Q447" s="288" t="str">
        <f>IFERROR(VLOOKUP(ROWS($Q$3:Q447),$M$3:$N$718,2,0),"")</f>
        <v>Velkoobchod s těžebními a stavebními stroji a zařízením</v>
      </c>
      <c r="R447">
        <f>IF(ISNUMBER(SEARCH('1Př1'!$A$32,N447)),MAX($M$2:M446)+1,0)</f>
        <v>445</v>
      </c>
      <c r="S447" s="287" t="s">
        <v>1868</v>
      </c>
      <c r="T447" t="str">
        <f>IFERROR(VLOOKUP(ROWS($T$3:T447),$R$3:$S$718,2,0),"")</f>
        <v>Výroba papíru a lepenky</v>
      </c>
      <c r="U447">
        <f>IF(ISNUMBER(SEARCH('1Př1'!$A$33,N447)),MAX($M$2:M446)+1,0)</f>
        <v>445</v>
      </c>
      <c r="V447" s="287" t="s">
        <v>1868</v>
      </c>
      <c r="W447" t="str">
        <f>IFERROR(VLOOKUP(ROWS($W$3:W447),$U$3:$V$718,2,0),"")</f>
        <v>Výroba papíru a lepenky</v>
      </c>
      <c r="X447">
        <f>IF(ISNUMBER(SEARCH('1Př1'!$A$34,N447)),MAX($M$2:M446)+1,0)</f>
        <v>445</v>
      </c>
      <c r="Y447" s="287" t="s">
        <v>1868</v>
      </c>
      <c r="Z447" t="str">
        <f>IFERROR(VLOOKUP(ROWS($Z$3:Z447),$X$3:$Y$718,2,0),"")</f>
        <v>Výroba papíru a lepenky</v>
      </c>
    </row>
    <row r="448" spans="13:26" ht="25.5">
      <c r="M448" s="286">
        <f>IF(ISNUMBER(SEARCH(ZAKL_DATA!$B$29,N448)),MAX($M$2:M447)+1,0)</f>
        <v>446</v>
      </c>
      <c r="N448" s="791" t="s">
        <v>3817</v>
      </c>
      <c r="O448" s="791" t="s">
        <v>3818</v>
      </c>
      <c r="Q448" s="288" t="str">
        <f>IFERROR(VLOOKUP(ROWS($Q$3:Q448),$M$3:$N$718,2,0),"")</f>
        <v>Velkoobchod s železářským zbožím a instalatérskými a topenářskými potřebami</v>
      </c>
      <c r="R448">
        <f>IF(ISNUMBER(SEARCH('1Př1'!$A$32,N448)),MAX($M$2:M447)+1,0)</f>
        <v>446</v>
      </c>
      <c r="S448" s="287" t="s">
        <v>1869</v>
      </c>
      <c r="T448" t="str">
        <f>IFERROR(VLOOKUP(ROWS($T$3:T448),$R$3:$S$718,2,0),"")</f>
        <v>Výroba vlnitého papíru a lepenky, papírových a lepenkových obalů</v>
      </c>
      <c r="U448">
        <f>IF(ISNUMBER(SEARCH('1Př1'!$A$33,N448)),MAX($M$2:M447)+1,0)</f>
        <v>446</v>
      </c>
      <c r="V448" s="287" t="s">
        <v>1869</v>
      </c>
      <c r="W448" t="str">
        <f>IFERROR(VLOOKUP(ROWS($W$3:W448),$U$3:$V$718,2,0),"")</f>
        <v>Výroba vlnitého papíru a lepenky, papírových a lepenkových obalů</v>
      </c>
      <c r="X448">
        <f>IF(ISNUMBER(SEARCH('1Př1'!$A$34,N448)),MAX($M$2:M447)+1,0)</f>
        <v>446</v>
      </c>
      <c r="Y448" s="287" t="s">
        <v>1869</v>
      </c>
      <c r="Z448" t="str">
        <f>IFERROR(VLOOKUP(ROWS($Z$3:Z448),$X$3:$Y$718,2,0),"")</f>
        <v>Výroba vlnitého papíru a lepenky, papírových a lepenkových obalů</v>
      </c>
    </row>
    <row r="449" spans="13:26">
      <c r="M449" s="286">
        <f>IF(ISNUMBER(SEARCH(ZAKL_DATA!$B$29,N449)),MAX($M$2:M448)+1,0)</f>
        <v>447</v>
      </c>
      <c r="N449" s="791" t="s">
        <v>2051</v>
      </c>
      <c r="O449" s="791" t="s">
        <v>3819</v>
      </c>
      <c r="Q449" s="288" t="str">
        <f>IFERROR(VLOOKUP(ROWS($Q$3:Q449),$M$3:$N$718,2,0),"")</f>
        <v>Velkoobchod s živými zvířaty</v>
      </c>
      <c r="R449">
        <f>IF(ISNUMBER(SEARCH('1Př1'!$A$32,N449)),MAX($M$2:M448)+1,0)</f>
        <v>447</v>
      </c>
      <c r="S449" s="287" t="s">
        <v>1870</v>
      </c>
      <c r="T449" t="str">
        <f>IFERROR(VLOOKUP(ROWS($T$3:T449),$R$3:$S$718,2,0),"")</f>
        <v>Výroba domácích potřeb, hygienických a toaletních výrobků z papíru</v>
      </c>
      <c r="U449">
        <f>IF(ISNUMBER(SEARCH('1Př1'!$A$33,N449)),MAX($M$2:M448)+1,0)</f>
        <v>447</v>
      </c>
      <c r="V449" s="287" t="s">
        <v>1870</v>
      </c>
      <c r="W449" t="str">
        <f>IFERROR(VLOOKUP(ROWS($W$3:W449),$U$3:$V$718,2,0),"")</f>
        <v>Výroba domácích potřeb, hygienických a toaletních výrobků z papíru</v>
      </c>
      <c r="X449">
        <f>IF(ISNUMBER(SEARCH('1Př1'!$A$34,N449)),MAX($M$2:M448)+1,0)</f>
        <v>447</v>
      </c>
      <c r="Y449" s="287" t="s">
        <v>1870</v>
      </c>
      <c r="Z449" t="str">
        <f>IFERROR(VLOOKUP(ROWS($Z$3:Z449),$X$3:$Y$718,2,0),"")</f>
        <v>Výroba domácích potřeb, hygienických a toaletních výrobků z papíru</v>
      </c>
    </row>
    <row r="450" spans="13:26" ht="25.5">
      <c r="M450" s="286">
        <f>IF(ISNUMBER(SEARCH(ZAKL_DATA!$B$29,N450)),MAX($M$2:M449)+1,0)</f>
        <v>448</v>
      </c>
      <c r="N450" s="791" t="s">
        <v>2082</v>
      </c>
      <c r="O450" s="791" t="s">
        <v>3820</v>
      </c>
      <c r="Q450" s="288" t="str">
        <f>IFERROR(VLOOKUP(ROWS($Q$3:Q450),$M$3:$N$718,2,0),"")</f>
        <v>Velkoobchod se dřevem, stavebními materiály a sanitárním vybavením</v>
      </c>
      <c r="R450">
        <f>IF(ISNUMBER(SEARCH('1Př1'!$A$32,N450)),MAX($M$2:M449)+1,0)</f>
        <v>448</v>
      </c>
      <c r="S450" s="287" t="s">
        <v>1871</v>
      </c>
      <c r="T450" t="str">
        <f>IFERROR(VLOOKUP(ROWS($T$3:T450),$R$3:$S$718,2,0),"")</f>
        <v>Výroba kancelářských potřeb z papíru</v>
      </c>
      <c r="U450">
        <f>IF(ISNUMBER(SEARCH('1Př1'!$A$33,N450)),MAX($M$2:M449)+1,0)</f>
        <v>448</v>
      </c>
      <c r="V450" s="287" t="s">
        <v>1871</v>
      </c>
      <c r="W450" t="str">
        <f>IFERROR(VLOOKUP(ROWS($W$3:W450),$U$3:$V$718,2,0),"")</f>
        <v>Výroba kancelářských potřeb z papíru</v>
      </c>
      <c r="X450">
        <f>IF(ISNUMBER(SEARCH('1Př1'!$A$34,N450)),MAX($M$2:M449)+1,0)</f>
        <v>448</v>
      </c>
      <c r="Y450" s="287" t="s">
        <v>1871</v>
      </c>
      <c r="Z450" t="str">
        <f>IFERROR(VLOOKUP(ROWS($Z$3:Z450),$X$3:$Y$718,2,0),"")</f>
        <v>Výroba kancelářských potřeb z papíru</v>
      </c>
    </row>
    <row r="451" spans="13:26" ht="25.5">
      <c r="M451" s="286">
        <f>IF(ISNUMBER(SEARCH(ZAKL_DATA!$B$29,N451)),MAX($M$2:M450)+1,0)</f>
        <v>449</v>
      </c>
      <c r="N451" s="791" t="s">
        <v>2052</v>
      </c>
      <c r="O451" s="791" t="s">
        <v>3821</v>
      </c>
      <c r="Q451" s="288" t="str">
        <f>IFERROR(VLOOKUP(ROWS($Q$3:Q451),$M$3:$N$718,2,0),"")</f>
        <v>Velkoobchod se surovými kůžemi, kožešinami a usněmi</v>
      </c>
      <c r="R451">
        <f>IF(ISNUMBER(SEARCH('1Př1'!$A$32,N451)),MAX($M$2:M450)+1,0)</f>
        <v>449</v>
      </c>
      <c r="S451" s="287" t="s">
        <v>1872</v>
      </c>
      <c r="T451" t="str">
        <f>IFERROR(VLOOKUP(ROWS($T$3:T451),$R$3:$S$718,2,0),"")</f>
        <v>Výroba tapet</v>
      </c>
      <c r="U451">
        <f>IF(ISNUMBER(SEARCH('1Př1'!$A$33,N451)),MAX($M$2:M450)+1,0)</f>
        <v>449</v>
      </c>
      <c r="V451" s="287" t="s">
        <v>1872</v>
      </c>
      <c r="W451" t="str">
        <f>IFERROR(VLOOKUP(ROWS($W$3:W451),$U$3:$V$718,2,0),"")</f>
        <v>Výroba tapet</v>
      </c>
      <c r="X451">
        <f>IF(ISNUMBER(SEARCH('1Př1'!$A$34,N451)),MAX($M$2:M450)+1,0)</f>
        <v>449</v>
      </c>
      <c r="Y451" s="287" t="s">
        <v>1872</v>
      </c>
      <c r="Z451" t="str">
        <f>IFERROR(VLOOKUP(ROWS($Z$3:Z451),$X$3:$Y$718,2,0),"")</f>
        <v>Výroba tapet</v>
      </c>
    </row>
    <row r="452" spans="13:26" ht="25.5">
      <c r="M452" s="286">
        <f>IF(ISNUMBER(SEARCH(ZAKL_DATA!$B$29,N452)),MAX($M$2:M451)+1,0)</f>
        <v>450</v>
      </c>
      <c r="N452" s="791" t="s">
        <v>2073</v>
      </c>
      <c r="O452" s="791" t="s">
        <v>3822</v>
      </c>
      <c r="Q452" s="288" t="str">
        <f>IFERROR(VLOOKUP(ROWS($Q$3:Q452),$M$3:$N$718,2,0),"")</f>
        <v>Velkoobchod se zemědělskými stroji, strojním zařízením a příslušenstvím</v>
      </c>
      <c r="R452">
        <f>IF(ISNUMBER(SEARCH('1Př1'!$A$32,N452)),MAX($M$2:M451)+1,0)</f>
        <v>450</v>
      </c>
      <c r="S452" s="287" t="s">
        <v>1873</v>
      </c>
      <c r="T452" t="str">
        <f>IFERROR(VLOOKUP(ROWS($T$3:T452),$R$3:$S$718,2,0),"")</f>
        <v>Výroba ostatních výrobků z papíru a lepenky</v>
      </c>
      <c r="U452">
        <f>IF(ISNUMBER(SEARCH('1Př1'!$A$33,N452)),MAX($M$2:M451)+1,0)</f>
        <v>450</v>
      </c>
      <c r="V452" s="287" t="s">
        <v>1873</v>
      </c>
      <c r="W452" t="str">
        <f>IFERROR(VLOOKUP(ROWS($W$3:W452),$U$3:$V$718,2,0),"")</f>
        <v>Výroba ostatních výrobků z papíru a lepenky</v>
      </c>
      <c r="X452">
        <f>IF(ISNUMBER(SEARCH('1Př1'!$A$34,N452)),MAX($M$2:M451)+1,0)</f>
        <v>450</v>
      </c>
      <c r="Y452" s="287" t="s">
        <v>1873</v>
      </c>
      <c r="Z452" t="str">
        <f>IFERROR(VLOOKUP(ROWS($Z$3:Z452),$X$3:$Y$718,2,0),"")</f>
        <v>Výroba ostatních výrobků z papíru a lepenky</v>
      </c>
    </row>
    <row r="453" spans="13:26">
      <c r="M453" s="286">
        <f>IF(ISNUMBER(SEARCH(ZAKL_DATA!$B$29,N453)),MAX($M$2:M452)+1,0)</f>
        <v>451</v>
      </c>
      <c r="N453" s="791" t="s">
        <v>1065</v>
      </c>
      <c r="O453" s="791" t="s">
        <v>3823</v>
      </c>
      <c r="Q453" s="288" t="str">
        <f>IFERROR(VLOOKUP(ROWS($Q$3:Q453),$M$3:$N$718,2,0),"")</f>
        <v>Veterinární činnosti</v>
      </c>
      <c r="R453">
        <f>IF(ISNUMBER(SEARCH('1Př1'!$A$32,N453)),MAX($M$2:M452)+1,0)</f>
        <v>451</v>
      </c>
      <c r="S453" s="287" t="s">
        <v>1874</v>
      </c>
      <c r="T453" t="str">
        <f>IFERROR(VLOOKUP(ROWS($T$3:T453),$R$3:$S$718,2,0),"")</f>
        <v>Tisk novin</v>
      </c>
      <c r="U453">
        <f>IF(ISNUMBER(SEARCH('1Př1'!$A$33,N453)),MAX($M$2:M452)+1,0)</f>
        <v>451</v>
      </c>
      <c r="V453" s="287" t="s">
        <v>1874</v>
      </c>
      <c r="W453" t="str">
        <f>IFERROR(VLOOKUP(ROWS($W$3:W453),$U$3:$V$718,2,0),"")</f>
        <v>Tisk novin</v>
      </c>
      <c r="X453">
        <f>IF(ISNUMBER(SEARCH('1Př1'!$A$34,N453)),MAX($M$2:M452)+1,0)</f>
        <v>451</v>
      </c>
      <c r="Y453" s="287" t="s">
        <v>1874</v>
      </c>
      <c r="Z453" t="str">
        <f>IFERROR(VLOOKUP(ROWS($Z$3:Z453),$X$3:$Y$718,2,0),"")</f>
        <v>Tisk novin</v>
      </c>
    </row>
    <row r="454" spans="13:26">
      <c r="M454" s="286">
        <f>IF(ISNUMBER(SEARCH(ZAKL_DATA!$B$29,N454)),MAX($M$2:M453)+1,0)</f>
        <v>452</v>
      </c>
      <c r="N454" s="791" t="s">
        <v>1704</v>
      </c>
      <c r="O454" s="791" t="s">
        <v>3824</v>
      </c>
      <c r="Q454" s="288" t="str">
        <f>IFERROR(VLOOKUP(ROWS($Q$3:Q454),$M$3:$N$718,2,0),"")</f>
        <v>Vnitrozemská vodní nákladní doprava</v>
      </c>
      <c r="R454">
        <f>IF(ISNUMBER(SEARCH('1Př1'!$A$32,N454)),MAX($M$2:M453)+1,0)</f>
        <v>452</v>
      </c>
      <c r="S454" s="287" t="s">
        <v>1875</v>
      </c>
      <c r="T454" t="str">
        <f>IFERROR(VLOOKUP(ROWS($T$3:T454),$R$3:$S$718,2,0),"")</f>
        <v>Tisk ostatní, kromě novin</v>
      </c>
      <c r="U454">
        <f>IF(ISNUMBER(SEARCH('1Př1'!$A$33,N454)),MAX($M$2:M453)+1,0)</f>
        <v>452</v>
      </c>
      <c r="V454" s="287" t="s">
        <v>1875</v>
      </c>
      <c r="W454" t="str">
        <f>IFERROR(VLOOKUP(ROWS($W$3:W454),$U$3:$V$718,2,0),"")</f>
        <v>Tisk ostatní, kromě novin</v>
      </c>
      <c r="X454">
        <f>IF(ISNUMBER(SEARCH('1Př1'!$A$34,N454)),MAX($M$2:M453)+1,0)</f>
        <v>452</v>
      </c>
      <c r="Y454" s="287" t="s">
        <v>1875</v>
      </c>
      <c r="Z454" t="str">
        <f>IFERROR(VLOOKUP(ROWS($Z$3:Z454),$X$3:$Y$718,2,0),"")</f>
        <v>Tisk ostatní, kromě novin</v>
      </c>
    </row>
    <row r="455" spans="13:26">
      <c r="M455" s="286">
        <f>IF(ISNUMBER(SEARCH(ZAKL_DATA!$B$29,N455)),MAX($M$2:M454)+1,0)</f>
        <v>453</v>
      </c>
      <c r="N455" s="791" t="s">
        <v>1703</v>
      </c>
      <c r="O455" s="791" t="s">
        <v>3825</v>
      </c>
      <c r="Q455" s="288" t="str">
        <f>IFERROR(VLOOKUP(ROWS($Q$3:Q455),$M$3:$N$718,2,0),"")</f>
        <v>Vnitrozemská vodní osobní doprava</v>
      </c>
      <c r="R455">
        <f>IF(ISNUMBER(SEARCH('1Př1'!$A$32,N455)),MAX($M$2:M454)+1,0)</f>
        <v>453</v>
      </c>
      <c r="S455" s="287" t="s">
        <v>1876</v>
      </c>
      <c r="T455" t="str">
        <f>IFERROR(VLOOKUP(ROWS($T$3:T455),$R$3:$S$718,2,0),"")</f>
        <v>Příprava tisku a digitálních dat</v>
      </c>
      <c r="U455">
        <f>IF(ISNUMBER(SEARCH('1Př1'!$A$33,N455)),MAX($M$2:M454)+1,0)</f>
        <v>453</v>
      </c>
      <c r="V455" s="287" t="s">
        <v>1876</v>
      </c>
      <c r="W455" t="str">
        <f>IFERROR(VLOOKUP(ROWS($W$3:W455),$U$3:$V$718,2,0),"")</f>
        <v>Příprava tisku a digitálních dat</v>
      </c>
      <c r="X455">
        <f>IF(ISNUMBER(SEARCH('1Př1'!$A$34,N455)),MAX($M$2:M454)+1,0)</f>
        <v>453</v>
      </c>
      <c r="Y455" s="287" t="s">
        <v>1876</v>
      </c>
      <c r="Z455" t="str">
        <f>IFERROR(VLOOKUP(ROWS($Z$3:Z455),$X$3:$Y$718,2,0),"")</f>
        <v>Příprava tisku a digitálních dat</v>
      </c>
    </row>
    <row r="456" spans="13:26" ht="25.5">
      <c r="M456" s="286">
        <f>IF(ISNUMBER(SEARCH(ZAKL_DATA!$B$29,N456)),MAX($M$2:M455)+1,0)</f>
        <v>454</v>
      </c>
      <c r="N456" s="791" t="s">
        <v>3826</v>
      </c>
      <c r="O456" s="791" t="s">
        <v>3827</v>
      </c>
      <c r="Q456" s="288" t="str">
        <f>IFERROR(VLOOKUP(ROWS($Q$3:Q456),$M$3:$N$718,2,0),"")</f>
        <v>Všechny ostatní odborné, vědecké a technické činnosti j. n.</v>
      </c>
      <c r="R456">
        <f>IF(ISNUMBER(SEARCH('1Př1'!$A$32,N456)),MAX($M$2:M455)+1,0)</f>
        <v>454</v>
      </c>
      <c r="S456" s="287" t="s">
        <v>1877</v>
      </c>
      <c r="T456" t="str">
        <f>IFERROR(VLOOKUP(ROWS($T$3:T456),$R$3:$S$718,2,0),"")</f>
        <v>Vázání a související činnosti</v>
      </c>
      <c r="U456">
        <f>IF(ISNUMBER(SEARCH('1Př1'!$A$33,N456)),MAX($M$2:M455)+1,0)</f>
        <v>454</v>
      </c>
      <c r="V456" s="287" t="s">
        <v>1877</v>
      </c>
      <c r="W456" t="str">
        <f>IFERROR(VLOOKUP(ROWS($W$3:W456),$U$3:$V$718,2,0),"")</f>
        <v>Vázání a související činnosti</v>
      </c>
      <c r="X456">
        <f>IF(ISNUMBER(SEARCH('1Př1'!$A$34,N456)),MAX($M$2:M455)+1,0)</f>
        <v>454</v>
      </c>
      <c r="Y456" s="287" t="s">
        <v>1877</v>
      </c>
      <c r="Z456" t="str">
        <f>IFERROR(VLOOKUP(ROWS($Z$3:Z456),$X$3:$Y$718,2,0),"")</f>
        <v>Vázání a související činnosti</v>
      </c>
    </row>
    <row r="457" spans="13:26">
      <c r="M457" s="286">
        <f>IF(ISNUMBER(SEARCH(ZAKL_DATA!$B$29,N457)),MAX($M$2:M456)+1,0)</f>
        <v>455</v>
      </c>
      <c r="N457" s="791" t="s">
        <v>2179</v>
      </c>
      <c r="O457" s="791" t="s">
        <v>3828</v>
      </c>
      <c r="Q457" s="288" t="str">
        <f>IFERROR(VLOOKUP(ROWS($Q$3:Q457),$M$3:$N$718,2,0),"")</f>
        <v>Všeobecná ambulantní zdravotní péče</v>
      </c>
      <c r="R457">
        <f>IF(ISNUMBER(SEARCH('1Př1'!$A$32,N457)),MAX($M$2:M456)+1,0)</f>
        <v>455</v>
      </c>
      <c r="S457" s="287" t="s">
        <v>1878</v>
      </c>
      <c r="T457" t="str">
        <f>IFERROR(VLOOKUP(ROWS($T$3:T457),$R$3:$S$718,2,0),"")</f>
        <v>Výroba technických plynů</v>
      </c>
      <c r="U457">
        <f>IF(ISNUMBER(SEARCH('1Př1'!$A$33,N457)),MAX($M$2:M456)+1,0)</f>
        <v>455</v>
      </c>
      <c r="V457" s="287" t="s">
        <v>1878</v>
      </c>
      <c r="W457" t="str">
        <f>IFERROR(VLOOKUP(ROWS($W$3:W457),$U$3:$V$718,2,0),"")</f>
        <v>Výroba technických plynů</v>
      </c>
      <c r="X457">
        <f>IF(ISNUMBER(SEARCH('1Př1'!$A$34,N457)),MAX($M$2:M456)+1,0)</f>
        <v>455</v>
      </c>
      <c r="Y457" s="287" t="s">
        <v>1878</v>
      </c>
      <c r="Z457" t="str">
        <f>IFERROR(VLOOKUP(ROWS($Z$3:Z457),$X$3:$Y$718,2,0),"")</f>
        <v>Výroba technických plynů</v>
      </c>
    </row>
    <row r="458" spans="13:26">
      <c r="M458" s="286">
        <f>IF(ISNUMBER(SEARCH(ZAKL_DATA!$B$29,N458)),MAX($M$2:M457)+1,0)</f>
        <v>456</v>
      </c>
      <c r="N458" s="791" t="s">
        <v>2171</v>
      </c>
      <c r="O458" s="791" t="s">
        <v>3829</v>
      </c>
      <c r="Q458" s="288" t="str">
        <f>IFERROR(VLOOKUP(ROWS($Q$3:Q458),$M$3:$N$718,2,0),"")</f>
        <v>Všeobecné činnosti veřejné správy</v>
      </c>
      <c r="R458">
        <f>IF(ISNUMBER(SEARCH('1Př1'!$A$32,N458)),MAX($M$2:M457)+1,0)</f>
        <v>456</v>
      </c>
      <c r="S458" s="287" t="s">
        <v>1879</v>
      </c>
      <c r="T458" t="str">
        <f>IFERROR(VLOOKUP(ROWS($T$3:T458),$R$3:$S$718,2,0),"")</f>
        <v>Výroba barviv a pigmentů</v>
      </c>
      <c r="U458">
        <f>IF(ISNUMBER(SEARCH('1Př1'!$A$33,N458)),MAX($M$2:M457)+1,0)</f>
        <v>456</v>
      </c>
      <c r="V458" s="287" t="s">
        <v>1879</v>
      </c>
      <c r="W458" t="str">
        <f>IFERROR(VLOOKUP(ROWS($W$3:W458),$U$3:$V$718,2,0),"")</f>
        <v>Výroba barviv a pigmentů</v>
      </c>
      <c r="X458">
        <f>IF(ISNUMBER(SEARCH('1Př1'!$A$34,N458)),MAX($M$2:M457)+1,0)</f>
        <v>456</v>
      </c>
      <c r="Y458" s="287" t="s">
        <v>1879</v>
      </c>
      <c r="Z458" t="str">
        <f>IFERROR(VLOOKUP(ROWS($Z$3:Z458),$X$3:$Y$718,2,0),"")</f>
        <v>Výroba barviv a pigmentů</v>
      </c>
    </row>
    <row r="459" spans="13:26">
      <c r="M459" s="286">
        <f>IF(ISNUMBER(SEARCH(ZAKL_DATA!$B$29,N459)),MAX($M$2:M458)+1,0)</f>
        <v>457</v>
      </c>
      <c r="N459" s="791" t="s">
        <v>2165</v>
      </c>
      <c r="O459" s="791" t="s">
        <v>3830</v>
      </c>
      <c r="Q459" s="288" t="str">
        <f>IFERROR(VLOOKUP(ROWS($Q$3:Q459),$M$3:$N$718,2,0),"")</f>
        <v>Všeobecný úklid budov</v>
      </c>
      <c r="R459">
        <f>IF(ISNUMBER(SEARCH('1Př1'!$A$32,N459)),MAX($M$2:M458)+1,0)</f>
        <v>457</v>
      </c>
      <c r="S459" s="287" t="s">
        <v>1880</v>
      </c>
      <c r="T459" t="str">
        <f>IFERROR(VLOOKUP(ROWS($T$3:T459),$R$3:$S$718,2,0),"")</f>
        <v>Výroba jiných základních anorganických chemických látek</v>
      </c>
      <c r="U459">
        <f>IF(ISNUMBER(SEARCH('1Př1'!$A$33,N459)),MAX($M$2:M458)+1,0)</f>
        <v>457</v>
      </c>
      <c r="V459" s="287" t="s">
        <v>1880</v>
      </c>
      <c r="W459" t="str">
        <f>IFERROR(VLOOKUP(ROWS($W$3:W459),$U$3:$V$718,2,0),"")</f>
        <v>Výroba jiných základních anorganických chemických látek</v>
      </c>
      <c r="X459">
        <f>IF(ISNUMBER(SEARCH('1Př1'!$A$34,N459)),MAX($M$2:M458)+1,0)</f>
        <v>457</v>
      </c>
      <c r="Y459" s="287" t="s">
        <v>1880</v>
      </c>
      <c r="Z459" t="str">
        <f>IFERROR(VLOOKUP(ROWS($Z$3:Z459),$X$3:$Y$718,2,0),"")</f>
        <v>Výroba jiných základních anorganických chemických látek</v>
      </c>
    </row>
    <row r="460" spans="13:26">
      <c r="M460" s="286">
        <f>IF(ISNUMBER(SEARCH(ZAKL_DATA!$B$29,N460)),MAX($M$2:M459)+1,0)</f>
        <v>458</v>
      </c>
      <c r="N460" s="791" t="s">
        <v>3831</v>
      </c>
      <c r="O460" s="791" t="s">
        <v>3832</v>
      </c>
      <c r="Q460" s="288" t="str">
        <f>IFERROR(VLOOKUP(ROWS($Q$3:Q460),$M$3:$N$718,2,0),"")</f>
        <v>Vydávání časopisů v jiných formách než tištěných</v>
      </c>
      <c r="R460">
        <f>IF(ISNUMBER(SEARCH('1Př1'!$A$32,N460)),MAX($M$2:M459)+1,0)</f>
        <v>458</v>
      </c>
      <c r="S460" s="287" t="s">
        <v>1881</v>
      </c>
      <c r="T460" t="str">
        <f>IFERROR(VLOOKUP(ROWS($T$3:T460),$R$3:$S$718,2,0),"")</f>
        <v>Výroba jiných základních organických chemických látek</v>
      </c>
      <c r="U460">
        <f>IF(ISNUMBER(SEARCH('1Př1'!$A$33,N460)),MAX($M$2:M459)+1,0)</f>
        <v>458</v>
      </c>
      <c r="V460" s="287" t="s">
        <v>1881</v>
      </c>
      <c r="W460" t="str">
        <f>IFERROR(VLOOKUP(ROWS($W$3:W460),$U$3:$V$718,2,0),"")</f>
        <v>Výroba jiných základních organických chemických látek</v>
      </c>
      <c r="X460">
        <f>IF(ISNUMBER(SEARCH('1Př1'!$A$34,N460)),MAX($M$2:M459)+1,0)</f>
        <v>458</v>
      </c>
      <c r="Y460" s="287" t="s">
        <v>1881</v>
      </c>
      <c r="Z460" t="str">
        <f>IFERROR(VLOOKUP(ROWS($Z$3:Z460),$X$3:$Y$718,2,0),"")</f>
        <v>Výroba jiných základních organických chemických látek</v>
      </c>
    </row>
    <row r="461" spans="13:26">
      <c r="M461" s="286">
        <f>IF(ISNUMBER(SEARCH(ZAKL_DATA!$B$29,N461)),MAX($M$2:M460)+1,0)</f>
        <v>459</v>
      </c>
      <c r="N461" s="791" t="s">
        <v>2140</v>
      </c>
      <c r="O461" s="791" t="s">
        <v>3833</v>
      </c>
      <c r="Q461" s="288" t="str">
        <f>IFERROR(VLOOKUP(ROWS($Q$3:Q461),$M$3:$N$718,2,0),"")</f>
        <v>Vydávání knih</v>
      </c>
      <c r="R461">
        <f>IF(ISNUMBER(SEARCH('1Př1'!$A$32,N461)),MAX($M$2:M460)+1,0)</f>
        <v>459</v>
      </c>
      <c r="S461" s="287" t="s">
        <v>1882</v>
      </c>
      <c r="T461" t="str">
        <f>IFERROR(VLOOKUP(ROWS($T$3:T461),$R$3:$S$718,2,0),"")</f>
        <v>Výroba hnojiv a dusíkatých sloučenin</v>
      </c>
      <c r="U461">
        <f>IF(ISNUMBER(SEARCH('1Př1'!$A$33,N461)),MAX($M$2:M460)+1,0)</f>
        <v>459</v>
      </c>
      <c r="V461" s="287" t="s">
        <v>1882</v>
      </c>
      <c r="W461" t="str">
        <f>IFERROR(VLOOKUP(ROWS($W$3:W461),$U$3:$V$718,2,0),"")</f>
        <v>Výroba hnojiv a dusíkatých sloučenin</v>
      </c>
      <c r="X461">
        <f>IF(ISNUMBER(SEARCH('1Př1'!$A$34,N461)),MAX($M$2:M460)+1,0)</f>
        <v>459</v>
      </c>
      <c r="Y461" s="287" t="s">
        <v>1882</v>
      </c>
      <c r="Z461" t="str">
        <f>IFERROR(VLOOKUP(ROWS($Z$3:Z461),$X$3:$Y$718,2,0),"")</f>
        <v>Výroba hnojiv a dusíkatých sloučenin</v>
      </c>
    </row>
    <row r="462" spans="13:26">
      <c r="M462" s="286">
        <f>IF(ISNUMBER(SEARCH(ZAKL_DATA!$B$29,N462)),MAX($M$2:M461)+1,0)</f>
        <v>460</v>
      </c>
      <c r="N462" s="791" t="s">
        <v>3834</v>
      </c>
      <c r="O462" s="791" t="s">
        <v>3835</v>
      </c>
      <c r="Q462" s="288" t="str">
        <f>IFERROR(VLOOKUP(ROWS($Q$3:Q462),$M$3:$N$718,2,0),"")</f>
        <v>Vydávání novin v jiných formách než tištěných</v>
      </c>
      <c r="R462">
        <f>IF(ISNUMBER(SEARCH('1Př1'!$A$32,N462)),MAX($M$2:M461)+1,0)</f>
        <v>460</v>
      </c>
      <c r="S462" s="287" t="s">
        <v>1883</v>
      </c>
      <c r="T462" t="str">
        <f>IFERROR(VLOOKUP(ROWS($T$3:T462),$R$3:$S$718,2,0),"")</f>
        <v>Výroba plastů v primárních formách</v>
      </c>
      <c r="U462">
        <f>IF(ISNUMBER(SEARCH('1Př1'!$A$33,N462)),MAX($M$2:M461)+1,0)</f>
        <v>460</v>
      </c>
      <c r="V462" s="287" t="s">
        <v>1883</v>
      </c>
      <c r="W462" t="str">
        <f>IFERROR(VLOOKUP(ROWS($W$3:W462),$U$3:$V$718,2,0),"")</f>
        <v>Výroba plastů v primárních formách</v>
      </c>
      <c r="X462">
        <f>IF(ISNUMBER(SEARCH('1Př1'!$A$34,N462)),MAX($M$2:M461)+1,0)</f>
        <v>460</v>
      </c>
      <c r="Y462" s="287" t="s">
        <v>1883</v>
      </c>
      <c r="Z462" t="str">
        <f>IFERROR(VLOOKUP(ROWS($Z$3:Z462),$X$3:$Y$718,2,0),"")</f>
        <v>Výroba plastů v primárních formách</v>
      </c>
    </row>
    <row r="463" spans="13:26">
      <c r="M463" s="286">
        <f>IF(ISNUMBER(SEARCH(ZAKL_DATA!$B$29,N463)),MAX($M$2:M462)+1,0)</f>
        <v>461</v>
      </c>
      <c r="N463" s="791" t="s">
        <v>3836</v>
      </c>
      <c r="O463" s="791" t="s">
        <v>3837</v>
      </c>
      <c r="Q463" s="288" t="str">
        <f>IFERROR(VLOOKUP(ROWS($Q$3:Q463),$M$3:$N$718,2,0),"")</f>
        <v>Vydávání ostatních periodik</v>
      </c>
      <c r="R463">
        <f>IF(ISNUMBER(SEARCH('1Př1'!$A$32,N463)),MAX($M$2:M462)+1,0)</f>
        <v>461</v>
      </c>
      <c r="S463" s="287" t="s">
        <v>1884</v>
      </c>
      <c r="T463" t="str">
        <f>IFERROR(VLOOKUP(ROWS($T$3:T463),$R$3:$S$718,2,0),"")</f>
        <v>Výroba syntetického kaučuku v primárních formách</v>
      </c>
      <c r="U463">
        <f>IF(ISNUMBER(SEARCH('1Př1'!$A$33,N463)),MAX($M$2:M462)+1,0)</f>
        <v>461</v>
      </c>
      <c r="V463" s="287" t="s">
        <v>1884</v>
      </c>
      <c r="W463" t="str">
        <f>IFERROR(VLOOKUP(ROWS($W$3:W463),$U$3:$V$718,2,0),"")</f>
        <v>Výroba syntetického kaučuku v primárních formách</v>
      </c>
      <c r="X463">
        <f>IF(ISNUMBER(SEARCH('1Př1'!$A$34,N463)),MAX($M$2:M462)+1,0)</f>
        <v>461</v>
      </c>
      <c r="Y463" s="287" t="s">
        <v>1884</v>
      </c>
      <c r="Z463" t="str">
        <f>IFERROR(VLOOKUP(ROWS($Z$3:Z463),$X$3:$Y$718,2,0),"")</f>
        <v>Výroba syntetického kaučuku v primárních formách</v>
      </c>
    </row>
    <row r="464" spans="13:26">
      <c r="M464" s="286">
        <f>IF(ISNUMBER(SEARCH(ZAKL_DATA!$B$29,N464)),MAX($M$2:M463)+1,0)</f>
        <v>462</v>
      </c>
      <c r="N464" s="791" t="s">
        <v>3838</v>
      </c>
      <c r="O464" s="791" t="s">
        <v>3839</v>
      </c>
      <c r="Q464" s="288" t="str">
        <f>IFERROR(VLOOKUP(ROWS($Q$3:Q464),$M$3:$N$718,2,0),"")</f>
        <v>Vydávání tištěných časopisů</v>
      </c>
      <c r="R464">
        <f>IF(ISNUMBER(SEARCH('1Př1'!$A$32,N464)),MAX($M$2:M463)+1,0)</f>
        <v>462</v>
      </c>
      <c r="S464" s="287" t="s">
        <v>1885</v>
      </c>
      <c r="T464" t="str">
        <f>IFERROR(VLOOKUP(ROWS($T$3:T464),$R$3:$S$718,2,0),"")</f>
        <v>Výroba mýdel a detergentů, čisticích a lešticích prostředků</v>
      </c>
      <c r="U464">
        <f>IF(ISNUMBER(SEARCH('1Př1'!$A$33,N464)),MAX($M$2:M463)+1,0)</f>
        <v>462</v>
      </c>
      <c r="V464" s="287" t="s">
        <v>1885</v>
      </c>
      <c r="W464" t="str">
        <f>IFERROR(VLOOKUP(ROWS($W$3:W464),$U$3:$V$718,2,0),"")</f>
        <v>Výroba mýdel a detergentů, čisticích a lešticích prostředků</v>
      </c>
      <c r="X464">
        <f>IF(ISNUMBER(SEARCH('1Př1'!$A$34,N464)),MAX($M$2:M463)+1,0)</f>
        <v>462</v>
      </c>
      <c r="Y464" s="287" t="s">
        <v>1885</v>
      </c>
      <c r="Z464" t="str">
        <f>IFERROR(VLOOKUP(ROWS($Z$3:Z464),$X$3:$Y$718,2,0),"")</f>
        <v>Výroba mýdel a detergentů, čisticích a lešticích prostředků</v>
      </c>
    </row>
    <row r="465" spans="13:26">
      <c r="M465" s="286">
        <f>IF(ISNUMBER(SEARCH(ZAKL_DATA!$B$29,N465)),MAX($M$2:M464)+1,0)</f>
        <v>463</v>
      </c>
      <c r="N465" s="791" t="s">
        <v>3840</v>
      </c>
      <c r="O465" s="791" t="s">
        <v>3841</v>
      </c>
      <c r="Q465" s="288" t="str">
        <f>IFERROR(VLOOKUP(ROWS($Q$3:Q465),$M$3:$N$718,2,0),"")</f>
        <v>Vydávání tištěných novin</v>
      </c>
      <c r="R465">
        <f>IF(ISNUMBER(SEARCH('1Př1'!$A$32,N465)),MAX($M$2:M464)+1,0)</f>
        <v>463</v>
      </c>
      <c r="S465" s="287" t="s">
        <v>1886</v>
      </c>
      <c r="T465" t="str">
        <f>IFERROR(VLOOKUP(ROWS($T$3:T465),$R$3:$S$718,2,0),"")</f>
        <v>Výroba parfémů a toaletních přípravků</v>
      </c>
      <c r="U465">
        <f>IF(ISNUMBER(SEARCH('1Př1'!$A$33,N465)),MAX($M$2:M464)+1,0)</f>
        <v>463</v>
      </c>
      <c r="V465" s="287" t="s">
        <v>1886</v>
      </c>
      <c r="W465" t="str">
        <f>IFERROR(VLOOKUP(ROWS($W$3:W465),$U$3:$V$718,2,0),"")</f>
        <v>Výroba parfémů a toaletních přípravků</v>
      </c>
      <c r="X465">
        <f>IF(ISNUMBER(SEARCH('1Př1'!$A$34,N465)),MAX($M$2:M464)+1,0)</f>
        <v>463</v>
      </c>
      <c r="Y465" s="287" t="s">
        <v>1886</v>
      </c>
      <c r="Z465" t="str">
        <f>IFERROR(VLOOKUP(ROWS($Z$3:Z465),$X$3:$Y$718,2,0),"")</f>
        <v>Výroba parfémů a toaletních přípravků</v>
      </c>
    </row>
    <row r="466" spans="13:26">
      <c r="M466" s="286">
        <f>IF(ISNUMBER(SEARCH(ZAKL_DATA!$B$29,N466)),MAX($M$2:M465)+1,0)</f>
        <v>464</v>
      </c>
      <c r="N466" s="791" t="s">
        <v>3842</v>
      </c>
      <c r="O466" s="791" t="s">
        <v>3843</v>
      </c>
      <c r="Q466" s="288" t="str">
        <f>IFERROR(VLOOKUP(ROWS($Q$3:Q466),$M$3:$N$718,2,0),"")</f>
        <v>Vydávání videoher</v>
      </c>
      <c r="R466">
        <f>IF(ISNUMBER(SEARCH('1Př1'!$A$32,N466)),MAX($M$2:M465)+1,0)</f>
        <v>464</v>
      </c>
      <c r="S466" s="287" t="s">
        <v>1887</v>
      </c>
      <c r="T466" t="str">
        <f>IFERROR(VLOOKUP(ROWS($T$3:T466),$R$3:$S$718,2,0),"")</f>
        <v>Výroba výbušnin</v>
      </c>
      <c r="U466">
        <f>IF(ISNUMBER(SEARCH('1Př1'!$A$33,N466)),MAX($M$2:M465)+1,0)</f>
        <v>464</v>
      </c>
      <c r="V466" s="287" t="s">
        <v>1887</v>
      </c>
      <c r="W466" t="str">
        <f>IFERROR(VLOOKUP(ROWS($W$3:W466),$U$3:$V$718,2,0),"")</f>
        <v>Výroba výbušnin</v>
      </c>
      <c r="X466">
        <f>IF(ISNUMBER(SEARCH('1Př1'!$A$34,N466)),MAX($M$2:M465)+1,0)</f>
        <v>464</v>
      </c>
      <c r="Y466" s="287" t="s">
        <v>1887</v>
      </c>
      <c r="Z466" t="str">
        <f>IFERROR(VLOOKUP(ROWS($Z$3:Z466),$X$3:$Y$718,2,0),"")</f>
        <v>Výroba výbušnin</v>
      </c>
    </row>
    <row r="467" spans="13:26">
      <c r="M467" s="286">
        <f>IF(ISNUMBER(SEARCH(ZAKL_DATA!$B$29,N467)),MAX($M$2:M466)+1,0)</f>
        <v>465</v>
      </c>
      <c r="N467" s="791" t="s">
        <v>2148</v>
      </c>
      <c r="O467" s="791" t="s">
        <v>3844</v>
      </c>
      <c r="Q467" s="288" t="str">
        <f>IFERROR(VLOOKUP(ROWS($Q$3:Q467),$M$3:$N$718,2,0),"")</f>
        <v>Vyhodnocování rizik a škod</v>
      </c>
      <c r="R467">
        <f>IF(ISNUMBER(SEARCH('1Př1'!$A$32,N467)),MAX($M$2:M466)+1,0)</f>
        <v>465</v>
      </c>
      <c r="S467" s="287" t="s">
        <v>1888</v>
      </c>
      <c r="T467" t="str">
        <f>IFERROR(VLOOKUP(ROWS($T$3:T467),$R$3:$S$718,2,0),"")</f>
        <v>Výroba klihů</v>
      </c>
      <c r="U467">
        <f>IF(ISNUMBER(SEARCH('1Př1'!$A$33,N467)),MAX($M$2:M466)+1,0)</f>
        <v>465</v>
      </c>
      <c r="V467" s="287" t="s">
        <v>1888</v>
      </c>
      <c r="W467" t="str">
        <f>IFERROR(VLOOKUP(ROWS($W$3:W467),$U$3:$V$718,2,0),"")</f>
        <v>Výroba klihů</v>
      </c>
      <c r="X467">
        <f>IF(ISNUMBER(SEARCH('1Př1'!$A$34,N467)),MAX($M$2:M466)+1,0)</f>
        <v>465</v>
      </c>
      <c r="Y467" s="287" t="s">
        <v>1888</v>
      </c>
      <c r="Z467" t="str">
        <f>IFERROR(VLOOKUP(ROWS($Z$3:Z467),$X$3:$Y$718,2,0),"")</f>
        <v>Výroba klihů</v>
      </c>
    </row>
    <row r="468" spans="13:26">
      <c r="M468" s="286">
        <f>IF(ISNUMBER(SEARCH(ZAKL_DATA!$B$29,N468)),MAX($M$2:M467)+1,0)</f>
        <v>466</v>
      </c>
      <c r="N468" s="791" t="s">
        <v>3845</v>
      </c>
      <c r="O468" s="791" t="s">
        <v>3846</v>
      </c>
      <c r="Q468" s="288" t="str">
        <f>IFERROR(VLOOKUP(ROWS($Q$3:Q468),$M$3:$N$718,2,0),"")</f>
        <v>Výroba a distribuce chladicí vody</v>
      </c>
      <c r="R468">
        <f>IF(ISNUMBER(SEARCH('1Př1'!$A$32,N468)),MAX($M$2:M467)+1,0)</f>
        <v>466</v>
      </c>
      <c r="S468" s="287" t="s">
        <v>1889</v>
      </c>
      <c r="T468" t="str">
        <f>IFERROR(VLOOKUP(ROWS($T$3:T468),$R$3:$S$718,2,0),"")</f>
        <v>Výroba vonných silic</v>
      </c>
      <c r="U468">
        <f>IF(ISNUMBER(SEARCH('1Př1'!$A$33,N468)),MAX($M$2:M467)+1,0)</f>
        <v>466</v>
      </c>
      <c r="V468" s="287" t="s">
        <v>1889</v>
      </c>
      <c r="W468" t="str">
        <f>IFERROR(VLOOKUP(ROWS($W$3:W468),$U$3:$V$718,2,0),"")</f>
        <v>Výroba vonných silic</v>
      </c>
      <c r="X468">
        <f>IF(ISNUMBER(SEARCH('1Př1'!$A$34,N468)),MAX($M$2:M467)+1,0)</f>
        <v>466</v>
      </c>
      <c r="Y468" s="287" t="s">
        <v>1889</v>
      </c>
      <c r="Z468" t="str">
        <f>IFERROR(VLOOKUP(ROWS($Z$3:Z468),$X$3:$Y$718,2,0),"")</f>
        <v>Výroba vonných silic</v>
      </c>
    </row>
    <row r="469" spans="13:26">
      <c r="M469" s="286">
        <f>IF(ISNUMBER(SEARCH(ZAKL_DATA!$B$29,N469)),MAX($M$2:M468)+1,0)</f>
        <v>467</v>
      </c>
      <c r="N469" s="791" t="s">
        <v>3847</v>
      </c>
      <c r="O469" s="791" t="s">
        <v>3848</v>
      </c>
      <c r="Q469" s="288" t="str">
        <f>IFERROR(VLOOKUP(ROWS($Q$3:Q469),$M$3:$N$718,2,0),"")</f>
        <v>Výroba a distribuce klimatizovaného vzduchu</v>
      </c>
      <c r="R469">
        <f>IF(ISNUMBER(SEARCH('1Př1'!$A$32,N469)),MAX($M$2:M468)+1,0)</f>
        <v>467</v>
      </c>
      <c r="S469" s="287" t="s">
        <v>1890</v>
      </c>
      <c r="T469" t="str">
        <f>IFERROR(VLOOKUP(ROWS($T$3:T469),$R$3:$S$718,2,0),"")</f>
        <v>Výroba ostatních chemických výrobků j. n.</v>
      </c>
      <c r="U469">
        <f>IF(ISNUMBER(SEARCH('1Př1'!$A$33,N469)),MAX($M$2:M468)+1,0)</f>
        <v>467</v>
      </c>
      <c r="V469" s="287" t="s">
        <v>1890</v>
      </c>
      <c r="W469" t="str">
        <f>IFERROR(VLOOKUP(ROWS($W$3:W469),$U$3:$V$718,2,0),"")</f>
        <v>Výroba ostatních chemických výrobků j. n.</v>
      </c>
      <c r="X469">
        <f>IF(ISNUMBER(SEARCH('1Př1'!$A$34,N469)),MAX($M$2:M468)+1,0)</f>
        <v>467</v>
      </c>
      <c r="Y469" s="287" t="s">
        <v>1890</v>
      </c>
      <c r="Z469" t="str">
        <f>IFERROR(VLOOKUP(ROWS($Z$3:Z469),$X$3:$Y$718,2,0),"")</f>
        <v>Výroba ostatních chemických výrobků j. n.</v>
      </c>
    </row>
    <row r="470" spans="13:26">
      <c r="M470" s="286">
        <f>IF(ISNUMBER(SEARCH(ZAKL_DATA!$B$29,N470)),MAX($M$2:M469)+1,0)</f>
        <v>468</v>
      </c>
      <c r="N470" s="791" t="s">
        <v>3849</v>
      </c>
      <c r="O470" s="791" t="s">
        <v>3850</v>
      </c>
      <c r="Q470" s="288" t="str">
        <f>IFERROR(VLOOKUP(ROWS($Q$3:Q470),$M$3:$N$718,2,0),"")</f>
        <v>Výroba a distribuce páry</v>
      </c>
      <c r="R470">
        <f>IF(ISNUMBER(SEARCH('1Př1'!$A$32,N470)),MAX($M$2:M469)+1,0)</f>
        <v>468</v>
      </c>
      <c r="S470" s="287" t="s">
        <v>1891</v>
      </c>
      <c r="T470" t="str">
        <f>IFERROR(VLOOKUP(ROWS($T$3:T470),$R$3:$S$718,2,0),"")</f>
        <v>Výroba pryžových plášťů a duší; protektorování pneumatik</v>
      </c>
      <c r="U470">
        <f>IF(ISNUMBER(SEARCH('1Př1'!$A$33,N470)),MAX($M$2:M469)+1,0)</f>
        <v>468</v>
      </c>
      <c r="V470" s="287" t="s">
        <v>1891</v>
      </c>
      <c r="W470" t="str">
        <f>IFERROR(VLOOKUP(ROWS($W$3:W470),$U$3:$V$718,2,0),"")</f>
        <v>Výroba pryžových plášťů a duší; protektorování pneumatik</v>
      </c>
      <c r="X470">
        <f>IF(ISNUMBER(SEARCH('1Př1'!$A$34,N470)),MAX($M$2:M469)+1,0)</f>
        <v>468</v>
      </c>
      <c r="Y470" s="287" t="s">
        <v>1891</v>
      </c>
      <c r="Z470" t="str">
        <f>IFERROR(VLOOKUP(ROWS($Z$3:Z470),$X$3:$Y$718,2,0),"")</f>
        <v>Výroba pryžových plášťů a duší; protektorování pneumatik</v>
      </c>
    </row>
    <row r="471" spans="13:26">
      <c r="M471" s="286">
        <f>IF(ISNUMBER(SEARCH(ZAKL_DATA!$B$29,N471)),MAX($M$2:M470)+1,0)</f>
        <v>469</v>
      </c>
      <c r="N471" s="791" t="s">
        <v>1923</v>
      </c>
      <c r="O471" s="791" t="s">
        <v>3851</v>
      </c>
      <c r="Q471" s="288" t="str">
        <f>IFERROR(VLOOKUP(ROWS($Q$3:Q471),$M$3:$N$718,2,0),"")</f>
        <v>Výroba a hutní zpracování drahých kovů</v>
      </c>
      <c r="R471">
        <f>IF(ISNUMBER(SEARCH('1Př1'!$A$32,N471)),MAX($M$2:M470)+1,0)</f>
        <v>469</v>
      </c>
      <c r="S471" s="287" t="s">
        <v>1892</v>
      </c>
      <c r="T471" t="str">
        <f>IFERROR(VLOOKUP(ROWS($T$3:T471),$R$3:$S$718,2,0),"")</f>
        <v>Výroba ostatních pryžových výrobků</v>
      </c>
      <c r="U471">
        <f>IF(ISNUMBER(SEARCH('1Př1'!$A$33,N471)),MAX($M$2:M470)+1,0)</f>
        <v>469</v>
      </c>
      <c r="V471" s="287" t="s">
        <v>1892</v>
      </c>
      <c r="W471" t="str">
        <f>IFERROR(VLOOKUP(ROWS($W$3:W471),$U$3:$V$718,2,0),"")</f>
        <v>Výroba ostatních pryžových výrobků</v>
      </c>
      <c r="X471">
        <f>IF(ISNUMBER(SEARCH('1Př1'!$A$34,N471)),MAX($M$2:M470)+1,0)</f>
        <v>469</v>
      </c>
      <c r="Y471" s="287" t="s">
        <v>1892</v>
      </c>
      <c r="Z471" t="str">
        <f>IFERROR(VLOOKUP(ROWS($Z$3:Z471),$X$3:$Y$718,2,0),"")</f>
        <v>Výroba ostatních pryžových výrobků</v>
      </c>
    </row>
    <row r="472" spans="13:26">
      <c r="M472" s="286">
        <f>IF(ISNUMBER(SEARCH(ZAKL_DATA!$B$29,N472)),MAX($M$2:M471)+1,0)</f>
        <v>470</v>
      </c>
      <c r="N472" s="791" t="s">
        <v>1924</v>
      </c>
      <c r="O472" s="791" t="s">
        <v>3852</v>
      </c>
      <c r="Q472" s="288" t="str">
        <f>IFERROR(VLOOKUP(ROWS($Q$3:Q472),$M$3:$N$718,2,0),"")</f>
        <v>Výroba a hutní zpracování hliníku</v>
      </c>
      <c r="R472">
        <f>IF(ISNUMBER(SEARCH('1Př1'!$A$32,N472)),MAX($M$2:M471)+1,0)</f>
        <v>470</v>
      </c>
      <c r="S472" s="287" t="s">
        <v>1893</v>
      </c>
      <c r="T472" t="str">
        <f>IFERROR(VLOOKUP(ROWS($T$3:T472),$R$3:$S$718,2,0),"")</f>
        <v>Výroba plastových desek, fólií, hadic, trubek a profilů</v>
      </c>
      <c r="U472">
        <f>IF(ISNUMBER(SEARCH('1Př1'!$A$33,N472)),MAX($M$2:M471)+1,0)</f>
        <v>470</v>
      </c>
      <c r="V472" s="287" t="s">
        <v>1893</v>
      </c>
      <c r="W472" t="str">
        <f>IFERROR(VLOOKUP(ROWS($W$3:W472),$U$3:$V$718,2,0),"")</f>
        <v>Výroba plastových desek, fólií, hadic, trubek a profilů</v>
      </c>
      <c r="X472">
        <f>IF(ISNUMBER(SEARCH('1Př1'!$A$34,N472)),MAX($M$2:M471)+1,0)</f>
        <v>470</v>
      </c>
      <c r="Y472" s="287" t="s">
        <v>1893</v>
      </c>
      <c r="Z472" t="str">
        <f>IFERROR(VLOOKUP(ROWS($Z$3:Z472),$X$3:$Y$718,2,0),"")</f>
        <v>Výroba plastových desek, fólií, hadic, trubek a profilů</v>
      </c>
    </row>
    <row r="473" spans="13:26">
      <c r="M473" s="286">
        <f>IF(ISNUMBER(SEARCH(ZAKL_DATA!$B$29,N473)),MAX($M$2:M472)+1,0)</f>
        <v>471</v>
      </c>
      <c r="N473" s="791" t="s">
        <v>1926</v>
      </c>
      <c r="O473" s="791" t="s">
        <v>3853</v>
      </c>
      <c r="Q473" s="288" t="str">
        <f>IFERROR(VLOOKUP(ROWS($Q$3:Q473),$M$3:$N$718,2,0),"")</f>
        <v>Výroba a hutní zpracování mědi</v>
      </c>
      <c r="R473">
        <f>IF(ISNUMBER(SEARCH('1Př1'!$A$32,N473)),MAX($M$2:M472)+1,0)</f>
        <v>471</v>
      </c>
      <c r="S473" s="287" t="s">
        <v>1894</v>
      </c>
      <c r="T473" t="str">
        <f>IFERROR(VLOOKUP(ROWS($T$3:T473),$R$3:$S$718,2,0),"")</f>
        <v>Výroba plastových obalů</v>
      </c>
      <c r="U473">
        <f>IF(ISNUMBER(SEARCH('1Př1'!$A$33,N473)),MAX($M$2:M472)+1,0)</f>
        <v>471</v>
      </c>
      <c r="V473" s="287" t="s">
        <v>1894</v>
      </c>
      <c r="W473" t="str">
        <f>IFERROR(VLOOKUP(ROWS($W$3:W473),$U$3:$V$718,2,0),"")</f>
        <v>Výroba plastových obalů</v>
      </c>
      <c r="X473">
        <f>IF(ISNUMBER(SEARCH('1Př1'!$A$34,N473)),MAX($M$2:M472)+1,0)</f>
        <v>471</v>
      </c>
      <c r="Y473" s="287" t="s">
        <v>1894</v>
      </c>
      <c r="Z473" t="str">
        <f>IFERROR(VLOOKUP(ROWS($Z$3:Z473),$X$3:$Y$718,2,0),"")</f>
        <v>Výroba plastových obalů</v>
      </c>
    </row>
    <row r="474" spans="13:26">
      <c r="M474" s="286">
        <f>IF(ISNUMBER(SEARCH(ZAKL_DATA!$B$29,N474)),MAX($M$2:M473)+1,0)</f>
        <v>472</v>
      </c>
      <c r="N474" s="791" t="s">
        <v>1925</v>
      </c>
      <c r="O474" s="791" t="s">
        <v>3854</v>
      </c>
      <c r="Q474" s="288" t="str">
        <f>IFERROR(VLOOKUP(ROWS($Q$3:Q474),$M$3:$N$718,2,0),"")</f>
        <v>Výroba a hutní zpracování olova, zinku a cínu</v>
      </c>
      <c r="R474">
        <f>IF(ISNUMBER(SEARCH('1Př1'!$A$32,N474)),MAX($M$2:M473)+1,0)</f>
        <v>472</v>
      </c>
      <c r="S474" s="287" t="s">
        <v>1895</v>
      </c>
      <c r="T474" t="str">
        <f>IFERROR(VLOOKUP(ROWS($T$3:T474),$R$3:$S$718,2,0),"")</f>
        <v>Výroba plastových výrobků pro stavebnictví</v>
      </c>
      <c r="U474">
        <f>IF(ISNUMBER(SEARCH('1Př1'!$A$33,N474)),MAX($M$2:M473)+1,0)</f>
        <v>472</v>
      </c>
      <c r="V474" s="287" t="s">
        <v>1895</v>
      </c>
      <c r="W474" t="str">
        <f>IFERROR(VLOOKUP(ROWS($W$3:W474),$U$3:$V$718,2,0),"")</f>
        <v>Výroba plastových výrobků pro stavebnictví</v>
      </c>
      <c r="X474">
        <f>IF(ISNUMBER(SEARCH('1Př1'!$A$34,N474)),MAX($M$2:M473)+1,0)</f>
        <v>472</v>
      </c>
      <c r="Y474" s="287" t="s">
        <v>1895</v>
      </c>
      <c r="Z474" t="str">
        <f>IFERROR(VLOOKUP(ROWS($Z$3:Z474),$X$3:$Y$718,2,0),"")</f>
        <v>Výroba plastových výrobků pro stavebnictví</v>
      </c>
    </row>
    <row r="475" spans="13:26" ht="25.5">
      <c r="M475" s="286">
        <f>IF(ISNUMBER(SEARCH(ZAKL_DATA!$B$29,N475)),MAX($M$2:M474)+1,0)</f>
        <v>473</v>
      </c>
      <c r="N475" s="791" t="s">
        <v>1927</v>
      </c>
      <c r="O475" s="791" t="s">
        <v>3855</v>
      </c>
      <c r="Q475" s="288" t="str">
        <f>IFERROR(VLOOKUP(ROWS($Q$3:Q475),$M$3:$N$718,2,0),"")</f>
        <v>Výroba a hutní zpracování ostatních neželezných kovů</v>
      </c>
      <c r="R475">
        <f>IF(ISNUMBER(SEARCH('1Př1'!$A$32,N475)),MAX($M$2:M474)+1,0)</f>
        <v>473</v>
      </c>
      <c r="S475" s="287" t="s">
        <v>1896</v>
      </c>
      <c r="T475" t="str">
        <f>IFERROR(VLOOKUP(ROWS($T$3:T475),$R$3:$S$718,2,0),"")</f>
        <v>Výroba ostatních plastových výrobků</v>
      </c>
      <c r="U475">
        <f>IF(ISNUMBER(SEARCH('1Př1'!$A$33,N475)),MAX($M$2:M474)+1,0)</f>
        <v>473</v>
      </c>
      <c r="V475" s="287" t="s">
        <v>1896</v>
      </c>
      <c r="W475" t="str">
        <f>IFERROR(VLOOKUP(ROWS($W$3:W475),$U$3:$V$718,2,0),"")</f>
        <v>Výroba ostatních plastových výrobků</v>
      </c>
      <c r="X475">
        <f>IF(ISNUMBER(SEARCH('1Př1'!$A$34,N475)),MAX($M$2:M474)+1,0)</f>
        <v>473</v>
      </c>
      <c r="Y475" s="287" t="s">
        <v>1896</v>
      </c>
      <c r="Z475" t="str">
        <f>IFERROR(VLOOKUP(ROWS($Z$3:Z475),$X$3:$Y$718,2,0),"")</f>
        <v>Výroba ostatních plastových výrobků</v>
      </c>
    </row>
    <row r="476" spans="13:26" ht="25.5">
      <c r="M476" s="286">
        <f>IF(ISNUMBER(SEARCH(ZAKL_DATA!$B$29,N476)),MAX($M$2:M475)+1,0)</f>
        <v>474</v>
      </c>
      <c r="N476" s="791" t="s">
        <v>3856</v>
      </c>
      <c r="O476" s="791" t="s">
        <v>3857</v>
      </c>
      <c r="Q476" s="288" t="str">
        <f>IFERROR(VLOOKUP(ROWS($Q$3:Q476),$M$3:$N$718,2,0),"")</f>
        <v>Výroba a zpracování ostatního skla, včetně technického skla</v>
      </c>
      <c r="R476">
        <f>IF(ISNUMBER(SEARCH('1Př1'!$A$32,N476)),MAX($M$2:M475)+1,0)</f>
        <v>474</v>
      </c>
      <c r="S476" s="287" t="s">
        <v>1897</v>
      </c>
      <c r="T476" t="str">
        <f>IFERROR(VLOOKUP(ROWS($T$3:T476),$R$3:$S$718,2,0),"")</f>
        <v>Výroba plochého skla</v>
      </c>
      <c r="U476">
        <f>IF(ISNUMBER(SEARCH('1Př1'!$A$33,N476)),MAX($M$2:M475)+1,0)</f>
        <v>474</v>
      </c>
      <c r="V476" s="287" t="s">
        <v>1897</v>
      </c>
      <c r="W476" t="str">
        <f>IFERROR(VLOOKUP(ROWS($W$3:W476),$U$3:$V$718,2,0),"")</f>
        <v>Výroba plochého skla</v>
      </c>
      <c r="X476">
        <f>IF(ISNUMBER(SEARCH('1Př1'!$A$34,N476)),MAX($M$2:M475)+1,0)</f>
        <v>474</v>
      </c>
      <c r="Y476" s="287" t="s">
        <v>1897</v>
      </c>
      <c r="Z476" t="str">
        <f>IFERROR(VLOOKUP(ROWS($Z$3:Z476),$X$3:$Y$718,2,0),"")</f>
        <v>Výroba plochého skla</v>
      </c>
    </row>
    <row r="477" spans="13:26" ht="38.25">
      <c r="M477" s="286">
        <f>IF(ISNUMBER(SEARCH(ZAKL_DATA!$B$29,N477)),MAX($M$2:M476)+1,0)</f>
        <v>475</v>
      </c>
      <c r="N477" s="791" t="s">
        <v>3858</v>
      </c>
      <c r="O477" s="791" t="s">
        <v>3859</v>
      </c>
      <c r="Q477" s="288" t="str">
        <f>IFERROR(VLOOKUP(ROWS($Q$3:Q477),$M$3:$N$718,2,0),"")</f>
        <v>Výroba aditiv do pohonných hmot na bázi ethyltercbutyléteru (ETBE) a methyltercbutyléteru (MTBE)</v>
      </c>
      <c r="R477">
        <f>IF(ISNUMBER(SEARCH('1Př1'!$A$32,N477)),MAX($M$2:M476)+1,0)</f>
        <v>475</v>
      </c>
      <c r="S477" s="287" t="s">
        <v>1898</v>
      </c>
      <c r="T477" t="str">
        <f>IFERROR(VLOOKUP(ROWS($T$3:T477),$R$3:$S$718,2,0),"")</f>
        <v>Tvarování a zpracování plochého skla</v>
      </c>
      <c r="U477">
        <f>IF(ISNUMBER(SEARCH('1Př1'!$A$33,N477)),MAX($M$2:M476)+1,0)</f>
        <v>475</v>
      </c>
      <c r="V477" s="287" t="s">
        <v>1898</v>
      </c>
      <c r="W477" t="str">
        <f>IFERROR(VLOOKUP(ROWS($W$3:W477),$U$3:$V$718,2,0),"")</f>
        <v>Tvarování a zpracování plochého skla</v>
      </c>
      <c r="X477">
        <f>IF(ISNUMBER(SEARCH('1Př1'!$A$34,N477)),MAX($M$2:M476)+1,0)</f>
        <v>475</v>
      </c>
      <c r="Y477" s="287" t="s">
        <v>1898</v>
      </c>
      <c r="Z477" t="str">
        <f>IFERROR(VLOOKUP(ROWS($Z$3:Z477),$X$3:$Y$718,2,0),"")</f>
        <v>Tvarování a zpracování plochého skla</v>
      </c>
    </row>
    <row r="478" spans="13:26" ht="25.5">
      <c r="M478" s="286">
        <f>IF(ISNUMBER(SEARCH(ZAKL_DATA!$B$29,N478)),MAX($M$2:M477)+1,0)</f>
        <v>476</v>
      </c>
      <c r="N478" s="791" t="s">
        <v>3860</v>
      </c>
      <c r="O478" s="791" t="s">
        <v>3861</v>
      </c>
      <c r="Q478" s="288" t="str">
        <f>IFERROR(VLOOKUP(ROWS($Q$3:Q478),$M$3:$N$718,2,0),"")</f>
        <v>Výroba barev, laků a jiných nátěrových hmot, tiskařských barev a tmelů</v>
      </c>
      <c r="R478">
        <f>IF(ISNUMBER(SEARCH('1Př1'!$A$32,N478)),MAX($M$2:M477)+1,0)</f>
        <v>476</v>
      </c>
      <c r="S478" s="287" t="s">
        <v>1899</v>
      </c>
      <c r="T478" t="str">
        <f>IFERROR(VLOOKUP(ROWS($T$3:T478),$R$3:$S$718,2,0),"")</f>
        <v>Výroba dutého skla</v>
      </c>
      <c r="U478">
        <f>IF(ISNUMBER(SEARCH('1Př1'!$A$33,N478)),MAX($M$2:M477)+1,0)</f>
        <v>476</v>
      </c>
      <c r="V478" s="287" t="s">
        <v>1899</v>
      </c>
      <c r="W478" t="str">
        <f>IFERROR(VLOOKUP(ROWS($W$3:W478),$U$3:$V$718,2,0),"")</f>
        <v>Výroba dutého skla</v>
      </c>
      <c r="X478">
        <f>IF(ISNUMBER(SEARCH('1Př1'!$A$34,N478)),MAX($M$2:M477)+1,0)</f>
        <v>476</v>
      </c>
      <c r="Y478" s="287" t="s">
        <v>1899</v>
      </c>
      <c r="Z478" t="str">
        <f>IFERROR(VLOOKUP(ROWS($Z$3:Z478),$X$3:$Y$718,2,0),"")</f>
        <v>Výroba dutého skla</v>
      </c>
    </row>
    <row r="479" spans="13:26">
      <c r="M479" s="286">
        <f>IF(ISNUMBER(SEARCH(ZAKL_DATA!$B$29,N479)),MAX($M$2:M478)+1,0)</f>
        <v>477</v>
      </c>
      <c r="N479" s="791" t="s">
        <v>1879</v>
      </c>
      <c r="O479" s="791" t="s">
        <v>3862</v>
      </c>
      <c r="Q479" s="288" t="str">
        <f>IFERROR(VLOOKUP(ROWS($Q$3:Q479),$M$3:$N$718,2,0),"")</f>
        <v>Výroba barviv a pigmentů</v>
      </c>
      <c r="R479">
        <f>IF(ISNUMBER(SEARCH('1Př1'!$A$32,N479)),MAX($M$2:M478)+1,0)</f>
        <v>477</v>
      </c>
      <c r="S479" s="287" t="s">
        <v>1900</v>
      </c>
      <c r="T479" t="str">
        <f>IFERROR(VLOOKUP(ROWS($T$3:T479),$R$3:$S$718,2,0),"")</f>
        <v>Výroba skleněných vláken</v>
      </c>
      <c r="U479">
        <f>IF(ISNUMBER(SEARCH('1Př1'!$A$33,N479)),MAX($M$2:M478)+1,0)</f>
        <v>477</v>
      </c>
      <c r="V479" s="287" t="s">
        <v>1900</v>
      </c>
      <c r="W479" t="str">
        <f>IFERROR(VLOOKUP(ROWS($W$3:W479),$U$3:$V$718,2,0),"")</f>
        <v>Výroba skleněných vláken</v>
      </c>
      <c r="X479">
        <f>IF(ISNUMBER(SEARCH('1Př1'!$A$34,N479)),MAX($M$2:M478)+1,0)</f>
        <v>477</v>
      </c>
      <c r="Y479" s="287" t="s">
        <v>1900</v>
      </c>
      <c r="Z479" t="str">
        <f>IFERROR(VLOOKUP(ROWS($Z$3:Z479),$X$3:$Y$718,2,0),"")</f>
        <v>Výroba skleněných vláken</v>
      </c>
    </row>
    <row r="480" spans="13:26">
      <c r="M480" s="286">
        <f>IF(ISNUMBER(SEARCH(ZAKL_DATA!$B$29,N480)),MAX($M$2:M479)+1,0)</f>
        <v>478</v>
      </c>
      <c r="N480" s="791" t="s">
        <v>1540</v>
      </c>
      <c r="O480" s="791" t="s">
        <v>3863</v>
      </c>
      <c r="Q480" s="288" t="str">
        <f>IFERROR(VLOOKUP(ROWS($Q$3:Q480),$M$3:$N$718,2,0),"")</f>
        <v>Výroba baterií a akumulátorů</v>
      </c>
      <c r="R480">
        <f>IF(ISNUMBER(SEARCH('1Př1'!$A$32,N480)),MAX($M$2:M479)+1,0)</f>
        <v>478</v>
      </c>
      <c r="S480" s="287" t="s">
        <v>1901</v>
      </c>
      <c r="T480" t="str">
        <f>IFERROR(VLOOKUP(ROWS($T$3:T480),$R$3:$S$718,2,0),"")</f>
        <v>Výroba a zpracování ostatního skla vč. technického</v>
      </c>
      <c r="U480">
        <f>IF(ISNUMBER(SEARCH('1Př1'!$A$33,N480)),MAX($M$2:M479)+1,0)</f>
        <v>478</v>
      </c>
      <c r="V480" s="287" t="s">
        <v>1901</v>
      </c>
      <c r="W480" t="str">
        <f>IFERROR(VLOOKUP(ROWS($W$3:W480),$U$3:$V$718,2,0),"")</f>
        <v>Výroba a zpracování ostatního skla vč. technického</v>
      </c>
      <c r="X480">
        <f>IF(ISNUMBER(SEARCH('1Př1'!$A$34,N480)),MAX($M$2:M479)+1,0)</f>
        <v>478</v>
      </c>
      <c r="Y480" s="287" t="s">
        <v>1901</v>
      </c>
      <c r="Z480" t="str">
        <f>IFERROR(VLOOKUP(ROWS($Z$3:Z480),$X$3:$Y$718,2,0),"")</f>
        <v>Výroba a zpracování ostatního skla vč. technického</v>
      </c>
    </row>
    <row r="481" spans="13:26">
      <c r="M481" s="286">
        <f>IF(ISNUMBER(SEARCH(ZAKL_DATA!$B$29,N481)),MAX($M$2:M480)+1,0)</f>
        <v>479</v>
      </c>
      <c r="N481" s="791" t="s">
        <v>1911</v>
      </c>
      <c r="O481" s="791" t="s">
        <v>3864</v>
      </c>
      <c r="Q481" s="288" t="str">
        <f>IFERROR(VLOOKUP(ROWS($Q$3:Q481),$M$3:$N$718,2,0),"")</f>
        <v>Výroba betonových výrobků pro stavební účely</v>
      </c>
      <c r="R481">
        <f>IF(ISNUMBER(SEARCH('1Př1'!$A$32,N481)),MAX($M$2:M480)+1,0)</f>
        <v>479</v>
      </c>
      <c r="S481" s="287" t="s">
        <v>1902</v>
      </c>
      <c r="T481" t="str">
        <f>IFERROR(VLOOKUP(ROWS($T$3:T481),$R$3:$S$718,2,0),"")</f>
        <v>Výroba keramických obkládaček a dlaždic</v>
      </c>
      <c r="U481">
        <f>IF(ISNUMBER(SEARCH('1Př1'!$A$33,N481)),MAX($M$2:M480)+1,0)</f>
        <v>479</v>
      </c>
      <c r="V481" s="287" t="s">
        <v>1902</v>
      </c>
      <c r="W481" t="str">
        <f>IFERROR(VLOOKUP(ROWS($W$3:W481),$U$3:$V$718,2,0),"")</f>
        <v>Výroba keramických obkládaček a dlaždic</v>
      </c>
      <c r="X481">
        <f>IF(ISNUMBER(SEARCH('1Př1'!$A$34,N481)),MAX($M$2:M480)+1,0)</f>
        <v>479</v>
      </c>
      <c r="Y481" s="287" t="s">
        <v>1902</v>
      </c>
      <c r="Z481" t="str">
        <f>IFERROR(VLOOKUP(ROWS($Z$3:Z481),$X$3:$Y$718,2,0),"")</f>
        <v>Výroba keramických obkládaček a dlaždic</v>
      </c>
    </row>
    <row r="482" spans="13:26">
      <c r="M482" s="286">
        <f>IF(ISNUMBER(SEARCH(ZAKL_DATA!$B$29,N482)),MAX($M$2:M481)+1,0)</f>
        <v>480</v>
      </c>
      <c r="N482" s="791" t="s">
        <v>1913</v>
      </c>
      <c r="O482" s="791" t="s">
        <v>3865</v>
      </c>
      <c r="Q482" s="288" t="str">
        <f>IFERROR(VLOOKUP(ROWS($Q$3:Q482),$M$3:$N$718,2,0),"")</f>
        <v>Výroba betonu připraveného k lití</v>
      </c>
      <c r="R482">
        <f>IF(ISNUMBER(SEARCH('1Př1'!$A$32,N482)),MAX($M$2:M481)+1,0)</f>
        <v>480</v>
      </c>
      <c r="S482" s="287" t="s">
        <v>1903</v>
      </c>
      <c r="T482" t="str">
        <f>IFERROR(VLOOKUP(ROWS($T$3:T482),$R$3:$S$718,2,0),"")</f>
        <v>Výroba pálených zdicích materiálů, tašek, dlaždic a podobných výrobků</v>
      </c>
      <c r="U482">
        <f>IF(ISNUMBER(SEARCH('1Př1'!$A$33,N482)),MAX($M$2:M481)+1,0)</f>
        <v>480</v>
      </c>
      <c r="V482" s="287" t="s">
        <v>1903</v>
      </c>
      <c r="W482" t="str">
        <f>IFERROR(VLOOKUP(ROWS($W$3:W482),$U$3:$V$718,2,0),"")</f>
        <v>Výroba pálených zdicích materiálů, tašek, dlaždic a podobných výrobků</v>
      </c>
      <c r="X482">
        <f>IF(ISNUMBER(SEARCH('1Př1'!$A$34,N482)),MAX($M$2:M481)+1,0)</f>
        <v>480</v>
      </c>
      <c r="Y482" s="287" t="s">
        <v>1903</v>
      </c>
      <c r="Z482" t="str">
        <f>IFERROR(VLOOKUP(ROWS($Z$3:Z482),$X$3:$Y$718,2,0),"")</f>
        <v>Výroba pálených zdicích materiálů, tašek, dlaždic a podobných výrobků</v>
      </c>
    </row>
    <row r="483" spans="13:26">
      <c r="M483" s="286">
        <f>IF(ISNUMBER(SEARCH(ZAKL_DATA!$B$29,N483)),MAX($M$2:M482)+1,0)</f>
        <v>481</v>
      </c>
      <c r="N483" s="791" t="s">
        <v>1991</v>
      </c>
      <c r="O483" s="791" t="s">
        <v>3866</v>
      </c>
      <c r="Q483" s="288" t="str">
        <f>IFERROR(VLOOKUP(ROWS($Q$3:Q483),$M$3:$N$718,2,0),"")</f>
        <v>Výroba bižuterie a příbuzných výrobků</v>
      </c>
      <c r="R483">
        <f>IF(ISNUMBER(SEARCH('1Př1'!$A$32,N483)),MAX($M$2:M482)+1,0)</f>
        <v>481</v>
      </c>
      <c r="S483" s="287" t="s">
        <v>1904</v>
      </c>
      <c r="T483" t="str">
        <f>IFERROR(VLOOKUP(ROWS($T$3:T483),$R$3:$S$718,2,0),"")</f>
        <v>Výroba keram.a porcelán.výrobků převážně pro domácnost a ozdob.předmětů</v>
      </c>
      <c r="U483">
        <f>IF(ISNUMBER(SEARCH('1Př1'!$A$33,N483)),MAX($M$2:M482)+1,0)</f>
        <v>481</v>
      </c>
      <c r="V483" s="287" t="s">
        <v>1904</v>
      </c>
      <c r="W483" t="str">
        <f>IFERROR(VLOOKUP(ROWS($W$3:W483),$U$3:$V$718,2,0),"")</f>
        <v>Výroba keram.a porcelán.výrobků převážně pro domácnost a ozdob.předmětů</v>
      </c>
      <c r="X483">
        <f>IF(ISNUMBER(SEARCH('1Př1'!$A$34,N483)),MAX($M$2:M482)+1,0)</f>
        <v>481</v>
      </c>
      <c r="Y483" s="287" t="s">
        <v>1904</v>
      </c>
      <c r="Z483" t="str">
        <f>IFERROR(VLOOKUP(ROWS($Z$3:Z483),$X$3:$Y$718,2,0),"")</f>
        <v>Výroba keram.a porcelán.výrobků převážně pro domácnost a ozdob.předmětů</v>
      </c>
    </row>
    <row r="484" spans="13:26">
      <c r="M484" s="286">
        <f>IF(ISNUMBER(SEARCH(ZAKL_DATA!$B$29,N484)),MAX($M$2:M483)+1,0)</f>
        <v>482</v>
      </c>
      <c r="N484" s="791" t="s">
        <v>1917</v>
      </c>
      <c r="O484" s="791" t="s">
        <v>3867</v>
      </c>
      <c r="Q484" s="288" t="str">
        <f>IFERROR(VLOOKUP(ROWS($Q$3:Q484),$M$3:$N$718,2,0),"")</f>
        <v>Výroba brusiv</v>
      </c>
      <c r="R484">
        <f>IF(ISNUMBER(SEARCH('1Př1'!$A$32,N484)),MAX($M$2:M483)+1,0)</f>
        <v>482</v>
      </c>
      <c r="S484" s="287" t="s">
        <v>1905</v>
      </c>
      <c r="T484" t="str">
        <f>IFERROR(VLOOKUP(ROWS($T$3:T484),$R$3:$S$718,2,0),"")</f>
        <v>Výroba keramických sanitárních výrobků</v>
      </c>
      <c r="U484">
        <f>IF(ISNUMBER(SEARCH('1Př1'!$A$33,N484)),MAX($M$2:M483)+1,0)</f>
        <v>482</v>
      </c>
      <c r="V484" s="287" t="s">
        <v>1905</v>
      </c>
      <c r="W484" t="str">
        <f>IFERROR(VLOOKUP(ROWS($W$3:W484),$U$3:$V$718,2,0),"")</f>
        <v>Výroba keramických sanitárních výrobků</v>
      </c>
      <c r="X484">
        <f>IF(ISNUMBER(SEARCH('1Př1'!$A$34,N484)),MAX($M$2:M483)+1,0)</f>
        <v>482</v>
      </c>
      <c r="Y484" s="287" t="s">
        <v>1905</v>
      </c>
      <c r="Z484" t="str">
        <f>IFERROR(VLOOKUP(ROWS($Z$3:Z484),$X$3:$Y$718,2,0),"")</f>
        <v>Výroba keramických sanitárních výrobků</v>
      </c>
    </row>
    <row r="485" spans="13:26" ht="25.5">
      <c r="M485" s="286">
        <f>IF(ISNUMBER(SEARCH(ZAKL_DATA!$B$29,N485)),MAX($M$2:M484)+1,0)</f>
        <v>483</v>
      </c>
      <c r="N485" s="791" t="s">
        <v>3868</v>
      </c>
      <c r="O485" s="791" t="s">
        <v>3869</v>
      </c>
      <c r="Q485" s="288" t="str">
        <f>IFERROR(VLOOKUP(ROWS($Q$3:Q485),$M$3:$N$718,2,0),"")</f>
        <v>Výroba bytového textilu a konfekčních bytových textilií</v>
      </c>
      <c r="R485">
        <f>IF(ISNUMBER(SEARCH('1Př1'!$A$32,N485)),MAX($M$2:M484)+1,0)</f>
        <v>483</v>
      </c>
      <c r="S485" s="287" t="s">
        <v>1906</v>
      </c>
      <c r="T485" t="str">
        <f>IFERROR(VLOOKUP(ROWS($T$3:T485),$R$3:$S$718,2,0),"")</f>
        <v>Výroba keramických izolátorů a izolačního příslušenství</v>
      </c>
      <c r="U485">
        <f>IF(ISNUMBER(SEARCH('1Př1'!$A$33,N485)),MAX($M$2:M484)+1,0)</f>
        <v>483</v>
      </c>
      <c r="V485" s="287" t="s">
        <v>1906</v>
      </c>
      <c r="W485" t="str">
        <f>IFERROR(VLOOKUP(ROWS($W$3:W485),$U$3:$V$718,2,0),"")</f>
        <v>Výroba keramických izolátorů a izolačního příslušenství</v>
      </c>
      <c r="X485">
        <f>IF(ISNUMBER(SEARCH('1Př1'!$A$34,N485)),MAX($M$2:M484)+1,0)</f>
        <v>483</v>
      </c>
      <c r="Y485" s="287" t="s">
        <v>1906</v>
      </c>
      <c r="Z485" t="str">
        <f>IFERROR(VLOOKUP(ROWS($Z$3:Z485),$X$3:$Y$718,2,0),"")</f>
        <v>Výroba keramických izolátorů a izolačního příslušenství</v>
      </c>
    </row>
    <row r="486" spans="13:26">
      <c r="M486" s="286">
        <f>IF(ISNUMBER(SEARCH(ZAKL_DATA!$B$29,N486)),MAX($M$2:M485)+1,0)</f>
        <v>484</v>
      </c>
      <c r="N486" s="791" t="s">
        <v>1909</v>
      </c>
      <c r="O486" s="791" t="s">
        <v>3870</v>
      </c>
      <c r="Q486" s="288" t="str">
        <f>IFERROR(VLOOKUP(ROWS($Q$3:Q486),$M$3:$N$718,2,0),"")</f>
        <v>Výroba cementu</v>
      </c>
      <c r="R486">
        <f>IF(ISNUMBER(SEARCH('1Př1'!$A$32,N486)),MAX($M$2:M485)+1,0)</f>
        <v>484</v>
      </c>
      <c r="S486" s="287" t="s">
        <v>1907</v>
      </c>
      <c r="T486" t="str">
        <f>IFERROR(VLOOKUP(ROWS($T$3:T486),$R$3:$S$718,2,0),"")</f>
        <v>Výroba ostatních technických keramických výrobků</v>
      </c>
      <c r="U486">
        <f>IF(ISNUMBER(SEARCH('1Př1'!$A$33,N486)),MAX($M$2:M485)+1,0)</f>
        <v>484</v>
      </c>
      <c r="V486" s="287" t="s">
        <v>1907</v>
      </c>
      <c r="W486" t="str">
        <f>IFERROR(VLOOKUP(ROWS($W$3:W486),$U$3:$V$718,2,0),"")</f>
        <v>Výroba ostatních technických keramických výrobků</v>
      </c>
      <c r="X486">
        <f>IF(ISNUMBER(SEARCH('1Př1'!$A$34,N486)),MAX($M$2:M485)+1,0)</f>
        <v>484</v>
      </c>
      <c r="Y486" s="287" t="s">
        <v>1907</v>
      </c>
      <c r="Z486" t="str">
        <f>IFERROR(VLOOKUP(ROWS($Z$3:Z486),$X$3:$Y$718,2,0),"")</f>
        <v>Výroba ostatních technických keramických výrobků</v>
      </c>
    </row>
    <row r="487" spans="13:26">
      <c r="M487" s="286">
        <f>IF(ISNUMBER(SEARCH(ZAKL_DATA!$B$29,N487)),MAX($M$2:M486)+1,0)</f>
        <v>485</v>
      </c>
      <c r="N487" s="791" t="s">
        <v>3871</v>
      </c>
      <c r="O487" s="791" t="s">
        <v>3872</v>
      </c>
      <c r="Q487" s="288" t="str">
        <f>IFERROR(VLOOKUP(ROWS($Q$3:Q487),$M$3:$N$718,2,0),"")</f>
        <v>Výroba ciderů a jiných kvašených ovocných nápojů</v>
      </c>
      <c r="R487">
        <f>IF(ISNUMBER(SEARCH('1Př1'!$A$32,N487)),MAX($M$2:M486)+1,0)</f>
        <v>485</v>
      </c>
      <c r="S487" s="287" t="s">
        <v>1908</v>
      </c>
      <c r="T487" t="str">
        <f>IFERROR(VLOOKUP(ROWS($T$3:T487),$R$3:$S$718,2,0),"")</f>
        <v>Výroba ostatních keramických výrobků</v>
      </c>
      <c r="U487">
        <f>IF(ISNUMBER(SEARCH('1Př1'!$A$33,N487)),MAX($M$2:M486)+1,0)</f>
        <v>485</v>
      </c>
      <c r="V487" s="287" t="s">
        <v>1908</v>
      </c>
      <c r="W487" t="str">
        <f>IFERROR(VLOOKUP(ROWS($W$3:W487),$U$3:$V$718,2,0),"")</f>
        <v>Výroba ostatních keramických výrobků</v>
      </c>
      <c r="X487">
        <f>IF(ISNUMBER(SEARCH('1Př1'!$A$34,N487)),MAX($M$2:M486)+1,0)</f>
        <v>485</v>
      </c>
      <c r="Y487" s="287" t="s">
        <v>1908</v>
      </c>
      <c r="Z487" t="str">
        <f>IFERROR(VLOOKUP(ROWS($Z$3:Z487),$X$3:$Y$718,2,0),"")</f>
        <v>Výroba ostatních keramických výrobků</v>
      </c>
    </row>
    <row r="488" spans="13:26" ht="25.5">
      <c r="M488" s="286">
        <f>IF(ISNUMBER(SEARCH(ZAKL_DATA!$B$29,N488)),MAX($M$2:M487)+1,0)</f>
        <v>486</v>
      </c>
      <c r="N488" s="791" t="s">
        <v>3873</v>
      </c>
      <c r="O488" s="791" t="s">
        <v>3874</v>
      </c>
      <c r="Q488" s="288" t="str">
        <f>IFERROR(VLOOKUP(ROWS($Q$3:Q488),$M$3:$N$718,2,0),"")</f>
        <v>Výroba civilních letadel, kosmických lodí a souvisejících zařízení</v>
      </c>
      <c r="R488">
        <f>IF(ISNUMBER(SEARCH('1Př1'!$A$32,N488)),MAX($M$2:M487)+1,0)</f>
        <v>486</v>
      </c>
      <c r="S488" s="287" t="s">
        <v>1909</v>
      </c>
      <c r="T488" t="str">
        <f>IFERROR(VLOOKUP(ROWS($T$3:T488),$R$3:$S$718,2,0),"")</f>
        <v>Výroba cementu</v>
      </c>
      <c r="U488">
        <f>IF(ISNUMBER(SEARCH('1Př1'!$A$33,N488)),MAX($M$2:M487)+1,0)</f>
        <v>486</v>
      </c>
      <c r="V488" s="287" t="s">
        <v>1909</v>
      </c>
      <c r="W488" t="str">
        <f>IFERROR(VLOOKUP(ROWS($W$3:W488),$U$3:$V$718,2,0),"")</f>
        <v>Výroba cementu</v>
      </c>
      <c r="X488">
        <f>IF(ISNUMBER(SEARCH('1Př1'!$A$34,N488)),MAX($M$2:M487)+1,0)</f>
        <v>486</v>
      </c>
      <c r="Y488" s="287" t="s">
        <v>1909</v>
      </c>
      <c r="Z488" t="str">
        <f>IFERROR(VLOOKUP(ROWS($Z$3:Z488),$X$3:$Y$718,2,0),"")</f>
        <v>Výroba cementu</v>
      </c>
    </row>
    <row r="489" spans="13:26">
      <c r="M489" s="286">
        <f>IF(ISNUMBER(SEARCH(ZAKL_DATA!$B$29,N489)),MAX($M$2:M488)+1,0)</f>
        <v>487</v>
      </c>
      <c r="N489" s="791" t="s">
        <v>1826</v>
      </c>
      <c r="O489" s="791" t="s">
        <v>3875</v>
      </c>
      <c r="Q489" s="288" t="str">
        <f>IFERROR(VLOOKUP(ROWS($Q$3:Q489),$M$3:$N$718,2,0),"")</f>
        <v>Výroba cukru</v>
      </c>
      <c r="R489">
        <f>IF(ISNUMBER(SEARCH('1Př1'!$A$32,N489)),MAX($M$2:M488)+1,0)</f>
        <v>487</v>
      </c>
      <c r="S489" s="287" t="s">
        <v>1910</v>
      </c>
      <c r="T489" t="str">
        <f>IFERROR(VLOOKUP(ROWS($T$3:T489),$R$3:$S$718,2,0),"")</f>
        <v>Výroba vápna a sádry</v>
      </c>
      <c r="U489">
        <f>IF(ISNUMBER(SEARCH('1Př1'!$A$33,N489)),MAX($M$2:M488)+1,0)</f>
        <v>487</v>
      </c>
      <c r="V489" s="287" t="s">
        <v>1910</v>
      </c>
      <c r="W489" t="str">
        <f>IFERROR(VLOOKUP(ROWS($W$3:W489),$U$3:$V$718,2,0),"")</f>
        <v>Výroba vápna a sádry</v>
      </c>
      <c r="X489">
        <f>IF(ISNUMBER(SEARCH('1Př1'!$A$34,N489)),MAX($M$2:M488)+1,0)</f>
        <v>487</v>
      </c>
      <c r="Y489" s="287" t="s">
        <v>1910</v>
      </c>
      <c r="Z489" t="str">
        <f>IFERROR(VLOOKUP(ROWS($Z$3:Z489),$X$3:$Y$718,2,0),"")</f>
        <v>Výroba vápna a sádry</v>
      </c>
    </row>
    <row r="490" spans="13:26">
      <c r="M490" s="286">
        <f>IF(ISNUMBER(SEARCH(ZAKL_DATA!$B$29,N490)),MAX($M$2:M489)+1,0)</f>
        <v>488</v>
      </c>
      <c r="N490" s="791" t="s">
        <v>1950</v>
      </c>
      <c r="O490" s="791" t="s">
        <v>3876</v>
      </c>
      <c r="Q490" s="288" t="str">
        <f>IFERROR(VLOOKUP(ROWS($Q$3:Q490),$M$3:$N$718,2,0),"")</f>
        <v>Výroba časoměrných přístrojů</v>
      </c>
      <c r="R490">
        <f>IF(ISNUMBER(SEARCH('1Př1'!$A$32,N490)),MAX($M$2:M489)+1,0)</f>
        <v>488</v>
      </c>
      <c r="S490" s="287" t="s">
        <v>1911</v>
      </c>
      <c r="T490" t="str">
        <f>IFERROR(VLOOKUP(ROWS($T$3:T490),$R$3:$S$718,2,0),"")</f>
        <v>Výroba betonových výrobků pro stavební účely</v>
      </c>
      <c r="U490">
        <f>IF(ISNUMBER(SEARCH('1Př1'!$A$33,N490)),MAX($M$2:M489)+1,0)</f>
        <v>488</v>
      </c>
      <c r="V490" s="287" t="s">
        <v>1911</v>
      </c>
      <c r="W490" t="str">
        <f>IFERROR(VLOOKUP(ROWS($W$3:W490),$U$3:$V$718,2,0),"")</f>
        <v>Výroba betonových výrobků pro stavební účely</v>
      </c>
      <c r="X490">
        <f>IF(ISNUMBER(SEARCH('1Př1'!$A$34,N490)),MAX($M$2:M489)+1,0)</f>
        <v>488</v>
      </c>
      <c r="Y490" s="287" t="s">
        <v>1911</v>
      </c>
      <c r="Z490" t="str">
        <f>IFERROR(VLOOKUP(ROWS($Z$3:Z490),$X$3:$Y$718,2,0),"")</f>
        <v>Výroba betonových výrobků pro stavební účely</v>
      </c>
    </row>
    <row r="491" spans="13:26" ht="25.5">
      <c r="M491" s="286">
        <f>IF(ISNUMBER(SEARCH(ZAKL_DATA!$B$29,N491)),MAX($M$2:M490)+1,0)</f>
        <v>489</v>
      </c>
      <c r="N491" s="791" t="s">
        <v>1870</v>
      </c>
      <c r="O491" s="791" t="s">
        <v>3877</v>
      </c>
      <c r="Q491" s="288" t="str">
        <f>IFERROR(VLOOKUP(ROWS($Q$3:Q491),$M$3:$N$718,2,0),"")</f>
        <v>Výroba domácích potřeb, hygienických a toaletních výrobků z papíru</v>
      </c>
      <c r="R491">
        <f>IF(ISNUMBER(SEARCH('1Př1'!$A$32,N491)),MAX($M$2:M490)+1,0)</f>
        <v>489</v>
      </c>
      <c r="S491" s="287" t="s">
        <v>1912</v>
      </c>
      <c r="T491" t="str">
        <f>IFERROR(VLOOKUP(ROWS($T$3:T491),$R$3:$S$718,2,0),"")</f>
        <v>Výroba sádrových výrobků pro stavební účely</v>
      </c>
      <c r="U491">
        <f>IF(ISNUMBER(SEARCH('1Př1'!$A$33,N491)),MAX($M$2:M490)+1,0)</f>
        <v>489</v>
      </c>
      <c r="V491" s="287" t="s">
        <v>1912</v>
      </c>
      <c r="W491" t="str">
        <f>IFERROR(VLOOKUP(ROWS($W$3:W491),$U$3:$V$718,2,0),"")</f>
        <v>Výroba sádrových výrobků pro stavební účely</v>
      </c>
      <c r="X491">
        <f>IF(ISNUMBER(SEARCH('1Př1'!$A$34,N491)),MAX($M$2:M490)+1,0)</f>
        <v>489</v>
      </c>
      <c r="Y491" s="287" t="s">
        <v>1912</v>
      </c>
      <c r="Z491" t="str">
        <f>IFERROR(VLOOKUP(ROWS($Z$3:Z491),$X$3:$Y$718,2,0),"")</f>
        <v>Výroba sádrových výrobků pro stavební účely</v>
      </c>
    </row>
    <row r="492" spans="13:26">
      <c r="M492" s="286">
        <f>IF(ISNUMBER(SEARCH(ZAKL_DATA!$B$29,N492)),MAX($M$2:M491)+1,0)</f>
        <v>490</v>
      </c>
      <c r="N492" s="791" t="s">
        <v>1944</v>
      </c>
      <c r="O492" s="791" t="s">
        <v>3878</v>
      </c>
      <c r="Q492" s="288" t="str">
        <f>IFERROR(VLOOKUP(ROWS($Q$3:Q492),$M$3:$N$718,2,0),"")</f>
        <v>Výroba drátěných výrobků, řetězů a pružin</v>
      </c>
      <c r="R492">
        <f>IF(ISNUMBER(SEARCH('1Př1'!$A$32,N492)),MAX($M$2:M491)+1,0)</f>
        <v>490</v>
      </c>
      <c r="S492" s="287" t="s">
        <v>1913</v>
      </c>
      <c r="T492" t="str">
        <f>IFERROR(VLOOKUP(ROWS($T$3:T492),$R$3:$S$718,2,0),"")</f>
        <v>Výroba betonu připraveného k lití</v>
      </c>
      <c r="U492">
        <f>IF(ISNUMBER(SEARCH('1Př1'!$A$33,N492)),MAX($M$2:M491)+1,0)</f>
        <v>490</v>
      </c>
      <c r="V492" s="287" t="s">
        <v>1913</v>
      </c>
      <c r="W492" t="str">
        <f>IFERROR(VLOOKUP(ROWS($W$3:W492),$U$3:$V$718,2,0),"")</f>
        <v>Výroba betonu připraveného k lití</v>
      </c>
      <c r="X492">
        <f>IF(ISNUMBER(SEARCH('1Př1'!$A$34,N492)),MAX($M$2:M491)+1,0)</f>
        <v>490</v>
      </c>
      <c r="Y492" s="287" t="s">
        <v>1913</v>
      </c>
      <c r="Z492" t="str">
        <f>IFERROR(VLOOKUP(ROWS($Z$3:Z492),$X$3:$Y$718,2,0),"")</f>
        <v>Výroba betonu připraveného k lití</v>
      </c>
    </row>
    <row r="493" spans="13:26">
      <c r="M493" s="286">
        <f>IF(ISNUMBER(SEARCH(ZAKL_DATA!$B$29,N493)),MAX($M$2:M492)+1,0)</f>
        <v>491</v>
      </c>
      <c r="N493" s="791" t="s">
        <v>3879</v>
      </c>
      <c r="O493" s="791" t="s">
        <v>3880</v>
      </c>
      <c r="Q493" s="288" t="str">
        <f>IFERROR(VLOOKUP(ROWS($Q$3:Q493),$M$3:$N$718,2,0),"")</f>
        <v>Výroba dřevěných dveří a oken</v>
      </c>
      <c r="R493">
        <f>IF(ISNUMBER(SEARCH('1Př1'!$A$32,N493)),MAX($M$2:M492)+1,0)</f>
        <v>491</v>
      </c>
      <c r="S493" s="287" t="s">
        <v>1914</v>
      </c>
      <c r="T493" t="str">
        <f>IFERROR(VLOOKUP(ROWS($T$3:T493),$R$3:$S$718,2,0),"")</f>
        <v>Výroba malt</v>
      </c>
      <c r="U493">
        <f>IF(ISNUMBER(SEARCH('1Př1'!$A$33,N493)),MAX($M$2:M492)+1,0)</f>
        <v>491</v>
      </c>
      <c r="V493" s="287" t="s">
        <v>1914</v>
      </c>
      <c r="W493" t="str">
        <f>IFERROR(VLOOKUP(ROWS($W$3:W493),$U$3:$V$718,2,0),"")</f>
        <v>Výroba malt</v>
      </c>
      <c r="X493">
        <f>IF(ISNUMBER(SEARCH('1Př1'!$A$34,N493)),MAX($M$2:M492)+1,0)</f>
        <v>491</v>
      </c>
      <c r="Y493" s="287" t="s">
        <v>1914</v>
      </c>
      <c r="Z493" t="str">
        <f>IFERROR(VLOOKUP(ROWS($Z$3:Z493),$X$3:$Y$718,2,0),"")</f>
        <v>Výroba malt</v>
      </c>
    </row>
    <row r="494" spans="13:26">
      <c r="M494" s="286">
        <f>IF(ISNUMBER(SEARCH(ZAKL_DATA!$B$29,N494)),MAX($M$2:M493)+1,0)</f>
        <v>492</v>
      </c>
      <c r="N494" s="791" t="s">
        <v>1865</v>
      </c>
      <c r="O494" s="791" t="s">
        <v>3881</v>
      </c>
      <c r="Q494" s="288" t="str">
        <f>IFERROR(VLOOKUP(ROWS($Q$3:Q494),$M$3:$N$718,2,0),"")</f>
        <v>Výroba dřevěných obalů</v>
      </c>
      <c r="R494">
        <f>IF(ISNUMBER(SEARCH('1Př1'!$A$32,N494)),MAX($M$2:M493)+1,0)</f>
        <v>492</v>
      </c>
      <c r="S494" s="287" t="s">
        <v>1915</v>
      </c>
      <c r="T494" t="str">
        <f>IFERROR(VLOOKUP(ROWS($T$3:T494),$R$3:$S$718,2,0),"")</f>
        <v>Výroba vláknitých cementů</v>
      </c>
      <c r="U494">
        <f>IF(ISNUMBER(SEARCH('1Př1'!$A$33,N494)),MAX($M$2:M493)+1,0)</f>
        <v>492</v>
      </c>
      <c r="V494" s="287" t="s">
        <v>1915</v>
      </c>
      <c r="W494" t="str">
        <f>IFERROR(VLOOKUP(ROWS($W$3:W494),$U$3:$V$718,2,0),"")</f>
        <v>Výroba vláknitých cementů</v>
      </c>
      <c r="X494">
        <f>IF(ISNUMBER(SEARCH('1Př1'!$A$34,N494)),MAX($M$2:M493)+1,0)</f>
        <v>492</v>
      </c>
      <c r="Y494" s="287" t="s">
        <v>1915</v>
      </c>
      <c r="Z494" t="str">
        <f>IFERROR(VLOOKUP(ROWS($Z$3:Z494),$X$3:$Y$718,2,0),"")</f>
        <v>Výroba vláknitých cementů</v>
      </c>
    </row>
    <row r="495" spans="13:26">
      <c r="M495" s="286">
        <f>IF(ISNUMBER(SEARCH(ZAKL_DATA!$B$29,N495)),MAX($M$2:M494)+1,0)</f>
        <v>493</v>
      </c>
      <c r="N495" s="791" t="s">
        <v>1899</v>
      </c>
      <c r="O495" s="791" t="s">
        <v>3882</v>
      </c>
      <c r="Q495" s="288" t="str">
        <f>IFERROR(VLOOKUP(ROWS($Q$3:Q495),$M$3:$N$718,2,0),"")</f>
        <v>Výroba dutého skla</v>
      </c>
      <c r="R495">
        <f>IF(ISNUMBER(SEARCH('1Př1'!$A$32,N495)),MAX($M$2:M494)+1,0)</f>
        <v>493</v>
      </c>
      <c r="S495" s="287" t="s">
        <v>1916</v>
      </c>
      <c r="T495" t="str">
        <f>IFERROR(VLOOKUP(ROWS($T$3:T495),$R$3:$S$718,2,0),"")</f>
        <v>Výroba ostatních betonových, cementových a sádrových výrobků</v>
      </c>
      <c r="U495">
        <f>IF(ISNUMBER(SEARCH('1Př1'!$A$33,N495)),MAX($M$2:M494)+1,0)</f>
        <v>493</v>
      </c>
      <c r="V495" s="287" t="s">
        <v>1916</v>
      </c>
      <c r="W495" t="str">
        <f>IFERROR(VLOOKUP(ROWS($W$3:W495),$U$3:$V$718,2,0),"")</f>
        <v>Výroba ostatních betonových, cementových a sádrových výrobků</v>
      </c>
      <c r="X495">
        <f>IF(ISNUMBER(SEARCH('1Př1'!$A$34,N495)),MAX($M$2:M494)+1,0)</f>
        <v>493</v>
      </c>
      <c r="Y495" s="287" t="s">
        <v>1916</v>
      </c>
      <c r="Z495" t="str">
        <f>IFERROR(VLOOKUP(ROWS($Z$3:Z495),$X$3:$Y$718,2,0),"")</f>
        <v>Výroba ostatních betonových, cementových a sádrových výrobků</v>
      </c>
    </row>
    <row r="496" spans="13:26">
      <c r="M496" s="286">
        <f>IF(ISNUMBER(SEARCH(ZAKL_DATA!$B$29,N496)),MAX($M$2:M495)+1,0)</f>
        <v>494</v>
      </c>
      <c r="N496" s="791" t="s">
        <v>1862</v>
      </c>
      <c r="O496" s="791" t="s">
        <v>3883</v>
      </c>
      <c r="Q496" s="288" t="str">
        <f>IFERROR(VLOOKUP(ROWS($Q$3:Q496),$M$3:$N$718,2,0),"")</f>
        <v>Výroba dýh a desek na bázi dřeva</v>
      </c>
      <c r="R496">
        <f>IF(ISNUMBER(SEARCH('1Př1'!$A$32,N496)),MAX($M$2:M495)+1,0)</f>
        <v>494</v>
      </c>
      <c r="S496" s="287" t="s">
        <v>1917</v>
      </c>
      <c r="T496" t="str">
        <f>IFERROR(VLOOKUP(ROWS($T$3:T496),$R$3:$S$718,2,0),"")</f>
        <v>Výroba brusiv</v>
      </c>
      <c r="U496">
        <f>IF(ISNUMBER(SEARCH('1Př1'!$A$33,N496)),MAX($M$2:M495)+1,0)</f>
        <v>494</v>
      </c>
      <c r="V496" s="287" t="s">
        <v>1917</v>
      </c>
      <c r="W496" t="str">
        <f>IFERROR(VLOOKUP(ROWS($W$3:W496),$U$3:$V$718,2,0),"")</f>
        <v>Výroba brusiv</v>
      </c>
      <c r="X496">
        <f>IF(ISNUMBER(SEARCH('1Př1'!$A$34,N496)),MAX($M$2:M495)+1,0)</f>
        <v>494</v>
      </c>
      <c r="Y496" s="287" t="s">
        <v>1917</v>
      </c>
      <c r="Z496" t="str">
        <f>IFERROR(VLOOKUP(ROWS($Z$3:Z496),$X$3:$Y$718,2,0),"")</f>
        <v>Výroba brusiv</v>
      </c>
    </row>
    <row r="497" spans="13:26" ht="25.5">
      <c r="M497" s="286">
        <f>IF(ISNUMBER(SEARCH(ZAKL_DATA!$B$29,N497)),MAX($M$2:M496)+1,0)</f>
        <v>495</v>
      </c>
      <c r="N497" s="791" t="s">
        <v>1978</v>
      </c>
      <c r="O497" s="791" t="s">
        <v>3884</v>
      </c>
      <c r="Q497" s="288" t="str">
        <f>IFERROR(VLOOKUP(ROWS($Q$3:Q497),$M$3:$N$718,2,0),"")</f>
        <v>Výroba elektrického a elektronického zařízení pro motorová vozidla</v>
      </c>
      <c r="R497">
        <f>IF(ISNUMBER(SEARCH('1Př1'!$A$32,N497)),MAX($M$2:M496)+1,0)</f>
        <v>495</v>
      </c>
      <c r="S497" s="287" t="s">
        <v>1918</v>
      </c>
      <c r="T497" t="str">
        <f>IFERROR(VLOOKUP(ROWS($T$3:T497),$R$3:$S$718,2,0),"")</f>
        <v>Výroba ostatních nekovových minerálních výrobků j.n.</v>
      </c>
      <c r="U497">
        <f>IF(ISNUMBER(SEARCH('1Př1'!$A$33,N497)),MAX($M$2:M496)+1,0)</f>
        <v>495</v>
      </c>
      <c r="V497" s="287" t="s">
        <v>1918</v>
      </c>
      <c r="W497" t="str">
        <f>IFERROR(VLOOKUP(ROWS($W$3:W497),$U$3:$V$718,2,0),"")</f>
        <v>Výroba ostatních nekovových minerálních výrobků j.n.</v>
      </c>
      <c r="X497">
        <f>IF(ISNUMBER(SEARCH('1Př1'!$A$34,N497)),MAX($M$2:M496)+1,0)</f>
        <v>495</v>
      </c>
      <c r="Y497" s="287" t="s">
        <v>1918</v>
      </c>
      <c r="Z497" t="str">
        <f>IFERROR(VLOOKUP(ROWS($Z$3:Z497),$X$3:$Y$718,2,0),"")</f>
        <v>Výroba ostatních nekovových minerálních výrobků j.n.</v>
      </c>
    </row>
    <row r="498" spans="13:26" ht="25.5">
      <c r="M498" s="286">
        <f>IF(ISNUMBER(SEARCH(ZAKL_DATA!$B$29,N498)),MAX($M$2:M497)+1,0)</f>
        <v>496</v>
      </c>
      <c r="N498" s="791" t="s">
        <v>1951</v>
      </c>
      <c r="O498" s="791" t="s">
        <v>3885</v>
      </c>
      <c r="Q498" s="288" t="str">
        <f>IFERROR(VLOOKUP(ROWS($Q$3:Q498),$M$3:$N$718,2,0),"")</f>
        <v>Výroba elektrických motorů, generátorů a transformátorů</v>
      </c>
      <c r="R498">
        <f>IF(ISNUMBER(SEARCH('1Př1'!$A$32,N498)),MAX($M$2:M497)+1,0)</f>
        <v>496</v>
      </c>
      <c r="S498" s="287" t="s">
        <v>1919</v>
      </c>
      <c r="T498" t="str">
        <f>IFERROR(VLOOKUP(ROWS($T$3:T498),$R$3:$S$718,2,0),"")</f>
        <v>Tažení tyčí za studena</v>
      </c>
      <c r="U498">
        <f>IF(ISNUMBER(SEARCH('1Př1'!$A$33,N498)),MAX($M$2:M497)+1,0)</f>
        <v>496</v>
      </c>
      <c r="V498" s="287" t="s">
        <v>1919</v>
      </c>
      <c r="W498" t="str">
        <f>IFERROR(VLOOKUP(ROWS($W$3:W498),$U$3:$V$718,2,0),"")</f>
        <v>Tažení tyčí za studena</v>
      </c>
      <c r="X498">
        <f>IF(ISNUMBER(SEARCH('1Př1'!$A$34,N498)),MAX($M$2:M497)+1,0)</f>
        <v>496</v>
      </c>
      <c r="Y498" s="287" t="s">
        <v>1919</v>
      </c>
      <c r="Z498" t="str">
        <f>IFERROR(VLOOKUP(ROWS($Z$3:Z498),$X$3:$Y$718,2,0),"")</f>
        <v>Tažení tyčí za studena</v>
      </c>
    </row>
    <row r="499" spans="13:26" ht="25.5">
      <c r="M499" s="286">
        <f>IF(ISNUMBER(SEARCH(ZAKL_DATA!$B$29,N499)),MAX($M$2:M498)+1,0)</f>
        <v>497</v>
      </c>
      <c r="N499" s="791" t="s">
        <v>1952</v>
      </c>
      <c r="O499" s="791" t="s">
        <v>3886</v>
      </c>
      <c r="Q499" s="288" t="str">
        <f>IFERROR(VLOOKUP(ROWS($Q$3:Q499),$M$3:$N$718,2,0),"")</f>
        <v>Výroba elektrických rozvodných a kontrolních zařízení</v>
      </c>
      <c r="R499">
        <f>IF(ISNUMBER(SEARCH('1Př1'!$A$32,N499)),MAX($M$2:M498)+1,0)</f>
        <v>497</v>
      </c>
      <c r="S499" s="287" t="s">
        <v>1920</v>
      </c>
      <c r="T499" t="str">
        <f>IFERROR(VLOOKUP(ROWS($T$3:T499),$R$3:$S$718,2,0),"")</f>
        <v>Válcování ocelových úzkých pásů za studena</v>
      </c>
      <c r="U499">
        <f>IF(ISNUMBER(SEARCH('1Př1'!$A$33,N499)),MAX($M$2:M498)+1,0)</f>
        <v>497</v>
      </c>
      <c r="V499" s="287" t="s">
        <v>1920</v>
      </c>
      <c r="W499" t="str">
        <f>IFERROR(VLOOKUP(ROWS($W$3:W499),$U$3:$V$718,2,0),"")</f>
        <v>Válcování ocelových úzkých pásů za studena</v>
      </c>
      <c r="X499">
        <f>IF(ISNUMBER(SEARCH('1Př1'!$A$34,N499)),MAX($M$2:M498)+1,0)</f>
        <v>497</v>
      </c>
      <c r="Y499" s="287" t="s">
        <v>1920</v>
      </c>
      <c r="Z499" t="str">
        <f>IFERROR(VLOOKUP(ROWS($Z$3:Z499),$X$3:$Y$718,2,0),"")</f>
        <v>Válcování ocelových úzkých pásů za studena</v>
      </c>
    </row>
    <row r="500" spans="13:26" ht="25.5">
      <c r="M500" s="286">
        <f>IF(ISNUMBER(SEARCH(ZAKL_DATA!$B$29,N500)),MAX($M$2:M499)+1,0)</f>
        <v>498</v>
      </c>
      <c r="N500" s="791" t="s">
        <v>1956</v>
      </c>
      <c r="O500" s="791" t="s">
        <v>3887</v>
      </c>
      <c r="Q500" s="288" t="str">
        <f>IFERROR(VLOOKUP(ROWS($Q$3:Q500),$M$3:$N$718,2,0),"")</f>
        <v>Výroba elektrických spotřebičů převážně pro domácnost</v>
      </c>
      <c r="R500">
        <f>IF(ISNUMBER(SEARCH('1Př1'!$A$32,N500)),MAX($M$2:M499)+1,0)</f>
        <v>498</v>
      </c>
      <c r="S500" s="287" t="s">
        <v>1921</v>
      </c>
      <c r="T500" t="str">
        <f>IFERROR(VLOOKUP(ROWS($T$3:T500),$R$3:$S$718,2,0),"")</f>
        <v>Tváření ocelových profilů za studena</v>
      </c>
      <c r="U500">
        <f>IF(ISNUMBER(SEARCH('1Př1'!$A$33,N500)),MAX($M$2:M499)+1,0)</f>
        <v>498</v>
      </c>
      <c r="V500" s="287" t="s">
        <v>1921</v>
      </c>
      <c r="W500" t="str">
        <f>IFERROR(VLOOKUP(ROWS($W$3:W500),$U$3:$V$718,2,0),"")</f>
        <v>Tváření ocelových profilů za studena</v>
      </c>
      <c r="X500">
        <f>IF(ISNUMBER(SEARCH('1Př1'!$A$34,N500)),MAX($M$2:M499)+1,0)</f>
        <v>498</v>
      </c>
      <c r="Y500" s="287" t="s">
        <v>1921</v>
      </c>
      <c r="Z500" t="str">
        <f>IFERROR(VLOOKUP(ROWS($Z$3:Z500),$X$3:$Y$718,2,0),"")</f>
        <v>Tváření ocelových profilů za studena</v>
      </c>
    </row>
    <row r="501" spans="13:26">
      <c r="M501" s="286">
        <f>IF(ISNUMBER(SEARCH(ZAKL_DATA!$B$29,N501)),MAX($M$2:M500)+1,0)</f>
        <v>499</v>
      </c>
      <c r="N501" s="791" t="s">
        <v>1955</v>
      </c>
      <c r="O501" s="791" t="s">
        <v>3888</v>
      </c>
      <c r="Q501" s="288" t="str">
        <f>IFERROR(VLOOKUP(ROWS($Q$3:Q501),$M$3:$N$718,2,0),"")</f>
        <v>Výroba elektroinstalačních zařízení</v>
      </c>
      <c r="R501">
        <f>IF(ISNUMBER(SEARCH('1Př1'!$A$32,N501)),MAX($M$2:M500)+1,0)</f>
        <v>499</v>
      </c>
      <c r="S501" s="287" t="s">
        <v>1922</v>
      </c>
      <c r="T501" t="str">
        <f>IFERROR(VLOOKUP(ROWS($T$3:T501),$R$3:$S$718,2,0),"")</f>
        <v>Tažení ocelového drátu za studena</v>
      </c>
      <c r="U501">
        <f>IF(ISNUMBER(SEARCH('1Př1'!$A$33,N501)),MAX($M$2:M500)+1,0)</f>
        <v>499</v>
      </c>
      <c r="V501" s="287" t="s">
        <v>1922</v>
      </c>
      <c r="W501" t="str">
        <f>IFERROR(VLOOKUP(ROWS($W$3:W501),$U$3:$V$718,2,0),"")</f>
        <v>Tažení ocelového drátu za studena</v>
      </c>
      <c r="X501">
        <f>IF(ISNUMBER(SEARCH('1Př1'!$A$34,N501)),MAX($M$2:M500)+1,0)</f>
        <v>499</v>
      </c>
      <c r="Y501" s="287" t="s">
        <v>1922</v>
      </c>
      <c r="Z501" t="str">
        <f>IFERROR(VLOOKUP(ROWS($Z$3:Z501),$X$3:$Y$718,2,0),"")</f>
        <v>Tažení ocelového drátu za studena</v>
      </c>
    </row>
    <row r="502" spans="13:26">
      <c r="M502" s="286">
        <f>IF(ISNUMBER(SEARCH(ZAKL_DATA!$B$29,N502)),MAX($M$2:M501)+1,0)</f>
        <v>500</v>
      </c>
      <c r="N502" s="791" t="s">
        <v>1947</v>
      </c>
      <c r="O502" s="791" t="s">
        <v>3889</v>
      </c>
      <c r="Q502" s="288" t="str">
        <f>IFERROR(VLOOKUP(ROWS($Q$3:Q502),$M$3:$N$718,2,0),"")</f>
        <v>Výroba elektronických součástek</v>
      </c>
      <c r="R502">
        <f>IF(ISNUMBER(SEARCH('1Př1'!$A$32,N502)),MAX($M$2:M501)+1,0)</f>
        <v>500</v>
      </c>
      <c r="S502" s="287" t="s">
        <v>1923</v>
      </c>
      <c r="T502" t="str">
        <f>IFERROR(VLOOKUP(ROWS($T$3:T502),$R$3:$S$718,2,0),"")</f>
        <v>Výroba a hutní zpracování drahých kovů</v>
      </c>
      <c r="U502">
        <f>IF(ISNUMBER(SEARCH('1Př1'!$A$33,N502)),MAX($M$2:M501)+1,0)</f>
        <v>500</v>
      </c>
      <c r="V502" s="287" t="s">
        <v>1923</v>
      </c>
      <c r="W502" t="str">
        <f>IFERROR(VLOOKUP(ROWS($W$3:W502),$U$3:$V$718,2,0),"")</f>
        <v>Výroba a hutní zpracování drahých kovů</v>
      </c>
      <c r="X502">
        <f>IF(ISNUMBER(SEARCH('1Př1'!$A$34,N502)),MAX($M$2:M501)+1,0)</f>
        <v>500</v>
      </c>
      <c r="Y502" s="287" t="s">
        <v>1923</v>
      </c>
      <c r="Z502" t="str">
        <f>IFERROR(VLOOKUP(ROWS($Z$3:Z502),$X$3:$Y$718,2,0),"")</f>
        <v>Výroba a hutní zpracování drahých kovů</v>
      </c>
    </row>
    <row r="503" spans="13:26">
      <c r="M503" s="286">
        <f>IF(ISNUMBER(SEARCH(ZAKL_DATA!$B$29,N503)),MAX($M$2:M502)+1,0)</f>
        <v>501</v>
      </c>
      <c r="N503" s="791" t="s">
        <v>3890</v>
      </c>
      <c r="O503" s="791" t="s">
        <v>3891</v>
      </c>
      <c r="Q503" s="288" t="str">
        <f>IFERROR(VLOOKUP(ROWS($Q$3:Q503),$M$3:$N$718,2,0),"")</f>
        <v>Výroba elektřiny z neobnovitelných zdrojů</v>
      </c>
      <c r="R503">
        <f>IF(ISNUMBER(SEARCH('1Př1'!$A$32,N503)),MAX($M$2:M502)+1,0)</f>
        <v>501</v>
      </c>
      <c r="S503" s="287" t="s">
        <v>1924</v>
      </c>
      <c r="T503" t="str">
        <f>IFERROR(VLOOKUP(ROWS($T$3:T503),$R$3:$S$718,2,0),"")</f>
        <v>Výroba a hutní zpracování hliníku</v>
      </c>
      <c r="U503">
        <f>IF(ISNUMBER(SEARCH('1Př1'!$A$33,N503)),MAX($M$2:M502)+1,0)</f>
        <v>501</v>
      </c>
      <c r="V503" s="287" t="s">
        <v>1924</v>
      </c>
      <c r="W503" t="str">
        <f>IFERROR(VLOOKUP(ROWS($W$3:W503),$U$3:$V$718,2,0),"")</f>
        <v>Výroba a hutní zpracování hliníku</v>
      </c>
      <c r="X503">
        <f>IF(ISNUMBER(SEARCH('1Př1'!$A$34,N503)),MAX($M$2:M502)+1,0)</f>
        <v>501</v>
      </c>
      <c r="Y503" s="287" t="s">
        <v>1924</v>
      </c>
      <c r="Z503" t="str">
        <f>IFERROR(VLOOKUP(ROWS($Z$3:Z503),$X$3:$Y$718,2,0),"")</f>
        <v>Výroba a hutní zpracování hliníku</v>
      </c>
    </row>
    <row r="504" spans="13:26">
      <c r="M504" s="286">
        <f>IF(ISNUMBER(SEARCH(ZAKL_DATA!$B$29,N504)),MAX($M$2:M503)+1,0)</f>
        <v>502</v>
      </c>
      <c r="N504" s="791" t="s">
        <v>3892</v>
      </c>
      <c r="O504" s="791" t="s">
        <v>3893</v>
      </c>
      <c r="Q504" s="288" t="str">
        <f>IFERROR(VLOOKUP(ROWS($Q$3:Q504),$M$3:$N$718,2,0),"")</f>
        <v>Výroba elektřiny z obnovitelných zdrojů</v>
      </c>
      <c r="R504">
        <f>IF(ISNUMBER(SEARCH('1Př1'!$A$32,N504)),MAX($M$2:M503)+1,0)</f>
        <v>502</v>
      </c>
      <c r="S504" s="287" t="s">
        <v>1925</v>
      </c>
      <c r="T504" t="str">
        <f>IFERROR(VLOOKUP(ROWS($T$3:T504),$R$3:$S$718,2,0),"")</f>
        <v>Výroba a hutní zpracování olova, zinku a cínu</v>
      </c>
      <c r="U504">
        <f>IF(ISNUMBER(SEARCH('1Př1'!$A$33,N504)),MAX($M$2:M503)+1,0)</f>
        <v>502</v>
      </c>
      <c r="V504" s="287" t="s">
        <v>1925</v>
      </c>
      <c r="W504" t="str">
        <f>IFERROR(VLOOKUP(ROWS($W$3:W504),$U$3:$V$718,2,0),"")</f>
        <v>Výroba a hutní zpracování olova, zinku a cínu</v>
      </c>
      <c r="X504">
        <f>IF(ISNUMBER(SEARCH('1Př1'!$A$34,N504)),MAX($M$2:M503)+1,0)</f>
        <v>502</v>
      </c>
      <c r="Y504" s="287" t="s">
        <v>1925</v>
      </c>
      <c r="Z504" t="str">
        <f>IFERROR(VLOOKUP(ROWS($Z$3:Z504),$X$3:$Y$718,2,0),"")</f>
        <v>Výroba a hutní zpracování olova, zinku a cínu</v>
      </c>
    </row>
    <row r="505" spans="13:26">
      <c r="M505" s="286">
        <f>IF(ISNUMBER(SEARCH(ZAKL_DATA!$B$29,N505)),MAX($M$2:M504)+1,0)</f>
        <v>503</v>
      </c>
      <c r="N505" s="791" t="s">
        <v>1413</v>
      </c>
      <c r="O505" s="791" t="s">
        <v>3894</v>
      </c>
      <c r="Q505" s="288" t="str">
        <f>IFERROR(VLOOKUP(ROWS($Q$3:Q505),$M$3:$N$718,2,0),"")</f>
        <v>Výroba farmaceutických přípravků</v>
      </c>
      <c r="R505">
        <f>IF(ISNUMBER(SEARCH('1Př1'!$A$32,N505)),MAX($M$2:M504)+1,0)</f>
        <v>503</v>
      </c>
      <c r="S505" s="287" t="s">
        <v>1926</v>
      </c>
      <c r="T505" t="str">
        <f>IFERROR(VLOOKUP(ROWS($T$3:T505),$R$3:$S$718,2,0),"")</f>
        <v>Výroba a hutní zpracování mědi</v>
      </c>
      <c r="U505">
        <f>IF(ISNUMBER(SEARCH('1Př1'!$A$33,N505)),MAX($M$2:M504)+1,0)</f>
        <v>503</v>
      </c>
      <c r="V505" s="287" t="s">
        <v>1926</v>
      </c>
      <c r="W505" t="str">
        <f>IFERROR(VLOOKUP(ROWS($W$3:W505),$U$3:$V$718,2,0),"")</f>
        <v>Výroba a hutní zpracování mědi</v>
      </c>
      <c r="X505">
        <f>IF(ISNUMBER(SEARCH('1Př1'!$A$34,N505)),MAX($M$2:M504)+1,0)</f>
        <v>503</v>
      </c>
      <c r="Y505" s="287" t="s">
        <v>1926</v>
      </c>
      <c r="Z505" t="str">
        <f>IFERROR(VLOOKUP(ROWS($Z$3:Z505),$X$3:$Y$718,2,0),"")</f>
        <v>Výroba a hutní zpracování mědi</v>
      </c>
    </row>
    <row r="506" spans="13:26">
      <c r="M506" s="286">
        <f>IF(ISNUMBER(SEARCH(ZAKL_DATA!$B$29,N506)),MAX($M$2:M505)+1,0)</f>
        <v>504</v>
      </c>
      <c r="N506" s="791" t="s">
        <v>1615</v>
      </c>
      <c r="O506" s="791" t="s">
        <v>3895</v>
      </c>
      <c r="Q506" s="288" t="str">
        <f>IFERROR(VLOOKUP(ROWS($Q$3:Q506),$M$3:$N$718,2,0),"")</f>
        <v>Výroba her a hraček</v>
      </c>
      <c r="R506">
        <f>IF(ISNUMBER(SEARCH('1Př1'!$A$32,N506)),MAX($M$2:M505)+1,0)</f>
        <v>504</v>
      </c>
      <c r="S506" s="287" t="s">
        <v>1927</v>
      </c>
      <c r="T506" t="str">
        <f>IFERROR(VLOOKUP(ROWS($T$3:T506),$R$3:$S$718,2,0),"")</f>
        <v>Výroba a hutní zpracování ostatních neželezných kovů</v>
      </c>
      <c r="U506">
        <f>IF(ISNUMBER(SEARCH('1Př1'!$A$33,N506)),MAX($M$2:M505)+1,0)</f>
        <v>504</v>
      </c>
      <c r="V506" s="287" t="s">
        <v>1927</v>
      </c>
      <c r="W506" t="str">
        <f>IFERROR(VLOOKUP(ROWS($W$3:W506),$U$3:$V$718,2,0),"")</f>
        <v>Výroba a hutní zpracování ostatních neželezných kovů</v>
      </c>
      <c r="X506">
        <f>IF(ISNUMBER(SEARCH('1Př1'!$A$34,N506)),MAX($M$2:M505)+1,0)</f>
        <v>504</v>
      </c>
      <c r="Y506" s="287" t="s">
        <v>1927</v>
      </c>
      <c r="Z506" t="str">
        <f>IFERROR(VLOOKUP(ROWS($Z$3:Z506),$X$3:$Y$718,2,0),"")</f>
        <v>Výroba a hutní zpracování ostatních neželezných kovů</v>
      </c>
    </row>
    <row r="507" spans="13:26">
      <c r="M507" s="286">
        <f>IF(ISNUMBER(SEARCH(ZAKL_DATA!$B$29,N507)),MAX($M$2:M506)+1,0)</f>
        <v>505</v>
      </c>
      <c r="N507" s="791" t="s">
        <v>1882</v>
      </c>
      <c r="O507" s="791" t="s">
        <v>3896</v>
      </c>
      <c r="Q507" s="288" t="str">
        <f>IFERROR(VLOOKUP(ROWS($Q$3:Q507),$M$3:$N$718,2,0),"")</f>
        <v>Výroba hnojiv a dusíkatých sloučenin</v>
      </c>
      <c r="R507">
        <f>IF(ISNUMBER(SEARCH('1Př1'!$A$32,N507)),MAX($M$2:M506)+1,0)</f>
        <v>505</v>
      </c>
      <c r="S507" s="287" t="s">
        <v>1928</v>
      </c>
      <c r="T507" t="str">
        <f>IFERROR(VLOOKUP(ROWS($T$3:T507),$R$3:$S$718,2,0),"")</f>
        <v>Zpracování jaderného paliva</v>
      </c>
      <c r="U507">
        <f>IF(ISNUMBER(SEARCH('1Př1'!$A$33,N507)),MAX($M$2:M506)+1,0)</f>
        <v>505</v>
      </c>
      <c r="V507" s="287" t="s">
        <v>1928</v>
      </c>
      <c r="W507" t="str">
        <f>IFERROR(VLOOKUP(ROWS($W$3:W507),$U$3:$V$718,2,0),"")</f>
        <v>Zpracování jaderného paliva</v>
      </c>
      <c r="X507">
        <f>IF(ISNUMBER(SEARCH('1Př1'!$A$34,N507)),MAX($M$2:M506)+1,0)</f>
        <v>505</v>
      </c>
      <c r="Y507" s="287" t="s">
        <v>1928</v>
      </c>
      <c r="Z507" t="str">
        <f>IFERROR(VLOOKUP(ROWS($Z$3:Z507),$X$3:$Y$718,2,0),"")</f>
        <v>Zpracování jaderného paliva</v>
      </c>
    </row>
    <row r="508" spans="13:26" ht="25.5">
      <c r="M508" s="286">
        <f>IF(ISNUMBER(SEARCH(ZAKL_DATA!$B$29,N508)),MAX($M$2:M507)+1,0)</f>
        <v>506</v>
      </c>
      <c r="N508" s="791" t="s">
        <v>3897</v>
      </c>
      <c r="O508" s="791" t="s">
        <v>3898</v>
      </c>
      <c r="Q508" s="288" t="str">
        <f>IFERROR(VLOOKUP(ROWS($Q$3:Q508),$M$3:$N$718,2,0),"")</f>
        <v>Výroba homogenizovaných potravinářských přípravků a dietetických potravin</v>
      </c>
      <c r="R508">
        <f>IF(ISNUMBER(SEARCH('1Př1'!$A$32,N508)),MAX($M$2:M507)+1,0)</f>
        <v>506</v>
      </c>
      <c r="S508" s="287" t="s">
        <v>1929</v>
      </c>
      <c r="T508" t="str">
        <f>IFERROR(VLOOKUP(ROWS($T$3:T508),$R$3:$S$718,2,0),"")</f>
        <v>Výroba odlitků z litiny</v>
      </c>
      <c r="U508">
        <f>IF(ISNUMBER(SEARCH('1Př1'!$A$33,N508)),MAX($M$2:M507)+1,0)</f>
        <v>506</v>
      </c>
      <c r="V508" s="287" t="s">
        <v>1929</v>
      </c>
      <c r="W508" t="str">
        <f>IFERROR(VLOOKUP(ROWS($W$3:W508),$U$3:$V$718,2,0),"")</f>
        <v>Výroba odlitků z litiny</v>
      </c>
      <c r="X508">
        <f>IF(ISNUMBER(SEARCH('1Př1'!$A$34,N508)),MAX($M$2:M507)+1,0)</f>
        <v>506</v>
      </c>
      <c r="Y508" s="287" t="s">
        <v>1929</v>
      </c>
      <c r="Z508" t="str">
        <f>IFERROR(VLOOKUP(ROWS($Z$3:Z508),$X$3:$Y$718,2,0),"")</f>
        <v>Výroba odlitků z litiny</v>
      </c>
    </row>
    <row r="509" spans="13:26">
      <c r="M509" s="286">
        <f>IF(ISNUMBER(SEARCH(ZAKL_DATA!$B$29,N509)),MAX($M$2:M508)+1,0)</f>
        <v>507</v>
      </c>
      <c r="N509" s="791" t="s">
        <v>1830</v>
      </c>
      <c r="O509" s="791" t="s">
        <v>3899</v>
      </c>
      <c r="Q509" s="288" t="str">
        <f>IFERROR(VLOOKUP(ROWS($Q$3:Q509),$M$3:$N$718,2,0),"")</f>
        <v>Výroba hotových pokrmů</v>
      </c>
      <c r="R509">
        <f>IF(ISNUMBER(SEARCH('1Př1'!$A$32,N509)),MAX($M$2:M508)+1,0)</f>
        <v>507</v>
      </c>
      <c r="S509" s="287" t="s">
        <v>1930</v>
      </c>
      <c r="T509" t="str">
        <f>IFERROR(VLOOKUP(ROWS($T$3:T509),$R$3:$S$718,2,0),"")</f>
        <v>Výroba odlitků z oceli</v>
      </c>
      <c r="U509">
        <f>IF(ISNUMBER(SEARCH('1Př1'!$A$33,N509)),MAX($M$2:M508)+1,0)</f>
        <v>507</v>
      </c>
      <c r="V509" s="287" t="s">
        <v>1930</v>
      </c>
      <c r="W509" t="str">
        <f>IFERROR(VLOOKUP(ROWS($W$3:W509),$U$3:$V$718,2,0),"")</f>
        <v>Výroba odlitků z oceli</v>
      </c>
      <c r="X509">
        <f>IF(ISNUMBER(SEARCH('1Př1'!$A$34,N509)),MAX($M$2:M508)+1,0)</f>
        <v>507</v>
      </c>
      <c r="Y509" s="287" t="s">
        <v>1930</v>
      </c>
      <c r="Z509" t="str">
        <f>IFERROR(VLOOKUP(ROWS($Z$3:Z509),$X$3:$Y$718,2,0),"")</f>
        <v>Výroba odlitků z oceli</v>
      </c>
    </row>
    <row r="510" spans="13:26">
      <c r="M510" s="286">
        <f>IF(ISNUMBER(SEARCH(ZAKL_DATA!$B$29,N510)),MAX($M$2:M509)+1,0)</f>
        <v>508</v>
      </c>
      <c r="N510" s="791" t="s">
        <v>1606</v>
      </c>
      <c r="O510" s="791" t="s">
        <v>3900</v>
      </c>
      <c r="Q510" s="288" t="str">
        <f>IFERROR(VLOOKUP(ROWS($Q$3:Q510),$M$3:$N$718,2,0),"")</f>
        <v>Výroba hudebních nástrojů</v>
      </c>
      <c r="R510">
        <f>IF(ISNUMBER(SEARCH('1Př1'!$A$32,N510)),MAX($M$2:M509)+1,0)</f>
        <v>508</v>
      </c>
      <c r="S510" s="287" t="s">
        <v>1931</v>
      </c>
      <c r="T510" t="str">
        <f>IFERROR(VLOOKUP(ROWS($T$3:T510),$R$3:$S$718,2,0),"")</f>
        <v>Výroba odlitků z lehkých neželezných kovů</v>
      </c>
      <c r="U510">
        <f>IF(ISNUMBER(SEARCH('1Př1'!$A$33,N510)),MAX($M$2:M509)+1,0)</f>
        <v>508</v>
      </c>
      <c r="V510" s="287" t="s">
        <v>1931</v>
      </c>
      <c r="W510" t="str">
        <f>IFERROR(VLOOKUP(ROWS($W$3:W510),$U$3:$V$718,2,0),"")</f>
        <v>Výroba odlitků z lehkých neželezných kovů</v>
      </c>
      <c r="X510">
        <f>IF(ISNUMBER(SEARCH('1Př1'!$A$34,N510)),MAX($M$2:M509)+1,0)</f>
        <v>508</v>
      </c>
      <c r="Y510" s="287" t="s">
        <v>1931</v>
      </c>
      <c r="Z510" t="str">
        <f>IFERROR(VLOOKUP(ROWS($Z$3:Z510),$X$3:$Y$718,2,0),"")</f>
        <v>Výroba odlitků z lehkých neželezných kovů</v>
      </c>
    </row>
    <row r="511" spans="13:26">
      <c r="M511" s="286">
        <f>IF(ISNUMBER(SEARCH(ZAKL_DATA!$B$29,N511)),MAX($M$2:M510)+1,0)</f>
        <v>509</v>
      </c>
      <c r="N511" s="791" t="s">
        <v>3901</v>
      </c>
      <c r="O511" s="791" t="s">
        <v>3902</v>
      </c>
      <c r="Q511" s="288" t="str">
        <f>IFERROR(VLOOKUP(ROWS($Q$3:Q511),$M$3:$N$718,2,0),"")</f>
        <v>Výroba hydraulických zařízení</v>
      </c>
      <c r="R511">
        <f>IF(ISNUMBER(SEARCH('1Př1'!$A$32,N511)),MAX($M$2:M510)+1,0)</f>
        <v>509</v>
      </c>
      <c r="S511" s="287" t="s">
        <v>1932</v>
      </c>
      <c r="T511" t="str">
        <f>IFERROR(VLOOKUP(ROWS($T$3:T511),$R$3:$S$718,2,0),"")</f>
        <v>Výroba odlitků z ostatních neželezných kovů</v>
      </c>
      <c r="U511">
        <f>IF(ISNUMBER(SEARCH('1Př1'!$A$33,N511)),MAX($M$2:M510)+1,0)</f>
        <v>509</v>
      </c>
      <c r="V511" s="287" t="s">
        <v>1932</v>
      </c>
      <c r="W511" t="str">
        <f>IFERROR(VLOOKUP(ROWS($W$3:W511),$U$3:$V$718,2,0),"")</f>
        <v>Výroba odlitků z ostatních neželezných kovů</v>
      </c>
      <c r="X511">
        <f>IF(ISNUMBER(SEARCH('1Př1'!$A$34,N511)),MAX($M$2:M510)+1,0)</f>
        <v>509</v>
      </c>
      <c r="Y511" s="287" t="s">
        <v>1932</v>
      </c>
      <c r="Z511" t="str">
        <f>IFERROR(VLOOKUP(ROWS($Z$3:Z511),$X$3:$Y$718,2,0),"")</f>
        <v>Výroba odlitků z ostatních neželezných kovů</v>
      </c>
    </row>
    <row r="512" spans="13:26">
      <c r="M512" s="286">
        <f>IF(ISNUMBER(SEARCH(ZAKL_DATA!$B$29,N512)),MAX($M$2:M511)+1,0)</f>
        <v>510</v>
      </c>
      <c r="N512" s="791" t="s">
        <v>2192</v>
      </c>
      <c r="O512" s="791" t="s">
        <v>3903</v>
      </c>
      <c r="Q512" s="288" t="str">
        <f>IFERROR(VLOOKUP(ROWS($Q$3:Q512),$M$3:$N$718,2,0),"")</f>
        <v>Výroba chemických buničin</v>
      </c>
      <c r="R512">
        <f>IF(ISNUMBER(SEARCH('1Př1'!$A$32,N512)),MAX($M$2:M511)+1,0)</f>
        <v>510</v>
      </c>
      <c r="S512" s="287" t="s">
        <v>1933</v>
      </c>
      <c r="T512" t="str">
        <f>IFERROR(VLOOKUP(ROWS($T$3:T512),$R$3:$S$718,2,0),"")</f>
        <v>Výroba kovových konstrukcí a jejich dílů</v>
      </c>
      <c r="U512">
        <f>IF(ISNUMBER(SEARCH('1Př1'!$A$33,N512)),MAX($M$2:M511)+1,0)</f>
        <v>510</v>
      </c>
      <c r="V512" s="287" t="s">
        <v>1933</v>
      </c>
      <c r="W512" t="str">
        <f>IFERROR(VLOOKUP(ROWS($W$3:W512),$U$3:$V$718,2,0),"")</f>
        <v>Výroba kovových konstrukcí a jejich dílů</v>
      </c>
      <c r="X512">
        <f>IF(ISNUMBER(SEARCH('1Př1'!$A$34,N512)),MAX($M$2:M511)+1,0)</f>
        <v>510</v>
      </c>
      <c r="Y512" s="287" t="s">
        <v>1933</v>
      </c>
      <c r="Z512" t="str">
        <f>IFERROR(VLOOKUP(ROWS($Z$3:Z512),$X$3:$Y$718,2,0),"")</f>
        <v>Výroba kovových konstrukcí a jejich dílů</v>
      </c>
    </row>
    <row r="513" spans="13:26">
      <c r="M513" s="286">
        <f>IF(ISNUMBER(SEARCH(ZAKL_DATA!$B$29,N513)),MAX($M$2:M512)+1,0)</f>
        <v>511</v>
      </c>
      <c r="N513" s="791" t="s">
        <v>1405</v>
      </c>
      <c r="O513" s="791" t="s">
        <v>3904</v>
      </c>
      <c r="Q513" s="288" t="str">
        <f>IFERROR(VLOOKUP(ROWS($Q$3:Q513),$M$3:$N$718,2,0),"")</f>
        <v>Výroba chemických vláken</v>
      </c>
      <c r="R513">
        <f>IF(ISNUMBER(SEARCH('1Př1'!$A$32,N513)),MAX($M$2:M512)+1,0)</f>
        <v>511</v>
      </c>
      <c r="S513" s="287" t="s">
        <v>1934</v>
      </c>
      <c r="T513" t="str">
        <f>IFERROR(VLOOKUP(ROWS($T$3:T513),$R$3:$S$718,2,0),"")</f>
        <v>Výroba kovových dveří a oken</v>
      </c>
      <c r="U513">
        <f>IF(ISNUMBER(SEARCH('1Př1'!$A$33,N513)),MAX($M$2:M512)+1,0)</f>
        <v>511</v>
      </c>
      <c r="V513" s="287" t="s">
        <v>1934</v>
      </c>
      <c r="W513" t="str">
        <f>IFERROR(VLOOKUP(ROWS($W$3:W513),$U$3:$V$718,2,0),"")</f>
        <v>Výroba kovových dveří a oken</v>
      </c>
      <c r="X513">
        <f>IF(ISNUMBER(SEARCH('1Př1'!$A$34,N513)),MAX($M$2:M512)+1,0)</f>
        <v>511</v>
      </c>
      <c r="Y513" s="287" t="s">
        <v>1934</v>
      </c>
      <c r="Z513" t="str">
        <f>IFERROR(VLOOKUP(ROWS($Z$3:Z513),$X$3:$Y$718,2,0),"")</f>
        <v>Výroba kovových dveří a oken</v>
      </c>
    </row>
    <row r="514" spans="13:26">
      <c r="M514" s="286">
        <f>IF(ISNUMBER(SEARCH(ZAKL_DATA!$B$29,N514)),MAX($M$2:M513)+1,0)</f>
        <v>512</v>
      </c>
      <c r="N514" s="791" t="s">
        <v>2195</v>
      </c>
      <c r="O514" s="791" t="s">
        <v>3905</v>
      </c>
      <c r="Q514" s="288" t="str">
        <f>IFERROR(VLOOKUP(ROWS($Q$3:Q514),$M$3:$N$718,2,0),"")</f>
        <v>Výroba jiných chemických výrobků j. n.</v>
      </c>
      <c r="R514">
        <f>IF(ISNUMBER(SEARCH('1Př1'!$A$32,N514)),MAX($M$2:M513)+1,0)</f>
        <v>512</v>
      </c>
      <c r="S514" s="287" t="s">
        <v>1935</v>
      </c>
      <c r="T514" t="str">
        <f>IFERROR(VLOOKUP(ROWS($T$3:T514),$R$3:$S$718,2,0),"")</f>
        <v>Výroba radiátorů a kotlů k ústřednímu topení</v>
      </c>
      <c r="U514">
        <f>IF(ISNUMBER(SEARCH('1Př1'!$A$33,N514)),MAX($M$2:M513)+1,0)</f>
        <v>512</v>
      </c>
      <c r="V514" s="287" t="s">
        <v>1935</v>
      </c>
      <c r="W514" t="str">
        <f>IFERROR(VLOOKUP(ROWS($W$3:W514),$U$3:$V$718,2,0),"")</f>
        <v>Výroba radiátorů a kotlů k ústřednímu topení</v>
      </c>
      <c r="X514">
        <f>IF(ISNUMBER(SEARCH('1Př1'!$A$34,N514)),MAX($M$2:M513)+1,0)</f>
        <v>512</v>
      </c>
      <c r="Y514" s="287" t="s">
        <v>1935</v>
      </c>
      <c r="Z514" t="str">
        <f>IFERROR(VLOOKUP(ROWS($Z$3:Z514),$X$3:$Y$718,2,0),"")</f>
        <v>Výroba radiátorů a kotlů k ústřednímu topení</v>
      </c>
    </row>
    <row r="515" spans="13:26" ht="25.5">
      <c r="M515" s="286">
        <f>IF(ISNUMBER(SEARCH(ZAKL_DATA!$B$29,N515)),MAX($M$2:M514)+1,0)</f>
        <v>513</v>
      </c>
      <c r="N515" s="791" t="s">
        <v>1880</v>
      </c>
      <c r="O515" s="791" t="s">
        <v>3906</v>
      </c>
      <c r="Q515" s="288" t="str">
        <f>IFERROR(VLOOKUP(ROWS($Q$3:Q515),$M$3:$N$718,2,0),"")</f>
        <v>Výroba jiných základních anorganických chemických látek</v>
      </c>
      <c r="R515">
        <f>IF(ISNUMBER(SEARCH('1Př1'!$A$32,N515)),MAX($M$2:M514)+1,0)</f>
        <v>513</v>
      </c>
      <c r="S515" s="287" t="s">
        <v>1936</v>
      </c>
      <c r="T515" t="str">
        <f>IFERROR(VLOOKUP(ROWS($T$3:T515),$R$3:$S$718,2,0),"")</f>
        <v>Výroba kovových nádrží a zásobníků</v>
      </c>
      <c r="U515">
        <f>IF(ISNUMBER(SEARCH('1Př1'!$A$33,N515)),MAX($M$2:M514)+1,0)</f>
        <v>513</v>
      </c>
      <c r="V515" s="287" t="s">
        <v>1936</v>
      </c>
      <c r="W515" t="str">
        <f>IFERROR(VLOOKUP(ROWS($W$3:W515),$U$3:$V$718,2,0),"")</f>
        <v>Výroba kovových nádrží a zásobníků</v>
      </c>
      <c r="X515">
        <f>IF(ISNUMBER(SEARCH('1Př1'!$A$34,N515)),MAX($M$2:M514)+1,0)</f>
        <v>513</v>
      </c>
      <c r="Y515" s="287" t="s">
        <v>1936</v>
      </c>
      <c r="Z515" t="str">
        <f>IFERROR(VLOOKUP(ROWS($Z$3:Z515),$X$3:$Y$718,2,0),"")</f>
        <v>Výroba kovových nádrží a zásobníků</v>
      </c>
    </row>
    <row r="516" spans="13:26" ht="25.5">
      <c r="M516" s="286">
        <f>IF(ISNUMBER(SEARCH(ZAKL_DATA!$B$29,N516)),MAX($M$2:M515)+1,0)</f>
        <v>514</v>
      </c>
      <c r="N516" s="791" t="s">
        <v>1881</v>
      </c>
      <c r="O516" s="791" t="s">
        <v>3907</v>
      </c>
      <c r="Q516" s="288" t="str">
        <f>IFERROR(VLOOKUP(ROWS($Q$3:Q516),$M$3:$N$718,2,0),"")</f>
        <v>Výroba jiných základních organických chemických látek</v>
      </c>
      <c r="R516">
        <f>IF(ISNUMBER(SEARCH('1Př1'!$A$32,N516)),MAX($M$2:M515)+1,0)</f>
        <v>514</v>
      </c>
      <c r="S516" s="287" t="s">
        <v>1937</v>
      </c>
      <c r="T516" t="str">
        <f>IFERROR(VLOOKUP(ROWS($T$3:T516),$R$3:$S$718,2,0),"")</f>
        <v>Povrchová úprava a zušlechťování kovů</v>
      </c>
      <c r="U516">
        <f>IF(ISNUMBER(SEARCH('1Př1'!$A$33,N516)),MAX($M$2:M515)+1,0)</f>
        <v>514</v>
      </c>
      <c r="V516" s="287" t="s">
        <v>1937</v>
      </c>
      <c r="W516" t="str">
        <f>IFERROR(VLOOKUP(ROWS($W$3:W516),$U$3:$V$718,2,0),"")</f>
        <v>Povrchová úprava a zušlechťování kovů</v>
      </c>
      <c r="X516">
        <f>IF(ISNUMBER(SEARCH('1Př1'!$A$34,N516)),MAX($M$2:M515)+1,0)</f>
        <v>514</v>
      </c>
      <c r="Y516" s="287" t="s">
        <v>1937</v>
      </c>
      <c r="Z516" t="str">
        <f>IFERROR(VLOOKUP(ROWS($Z$3:Z516),$X$3:$Y$718,2,0),"")</f>
        <v>Povrchová úprava a zušlechťování kovů</v>
      </c>
    </row>
    <row r="517" spans="13:26">
      <c r="M517" s="286">
        <f>IF(ISNUMBER(SEARCH(ZAKL_DATA!$B$29,N517)),MAX($M$2:M516)+1,0)</f>
        <v>515</v>
      </c>
      <c r="N517" s="791" t="s">
        <v>1983</v>
      </c>
      <c r="O517" s="791" t="s">
        <v>3908</v>
      </c>
      <c r="Q517" s="288" t="str">
        <f>IFERROR(VLOOKUP(ROWS($Q$3:Q517),$M$3:$N$718,2,0),"")</f>
        <v>Výroba jízdních kol a vozíků pro invalidy</v>
      </c>
      <c r="R517">
        <f>IF(ISNUMBER(SEARCH('1Př1'!$A$32,N517)),MAX($M$2:M516)+1,0)</f>
        <v>515</v>
      </c>
      <c r="S517" s="287" t="s">
        <v>1938</v>
      </c>
      <c r="T517" t="str">
        <f>IFERROR(VLOOKUP(ROWS($T$3:T517),$R$3:$S$718,2,0),"")</f>
        <v>Obrábění</v>
      </c>
      <c r="U517">
        <f>IF(ISNUMBER(SEARCH('1Př1'!$A$33,N517)),MAX($M$2:M516)+1,0)</f>
        <v>515</v>
      </c>
      <c r="V517" s="287" t="s">
        <v>1938</v>
      </c>
      <c r="W517" t="str">
        <f>IFERROR(VLOOKUP(ROWS($W$3:W517),$U$3:$V$718,2,0),"")</f>
        <v>Obrábění</v>
      </c>
      <c r="X517">
        <f>IF(ISNUMBER(SEARCH('1Př1'!$A$34,N517)),MAX($M$2:M516)+1,0)</f>
        <v>515</v>
      </c>
      <c r="Y517" s="287" t="s">
        <v>1938</v>
      </c>
      <c r="Z517" t="str">
        <f>IFERROR(VLOOKUP(ROWS($Z$3:Z517),$X$3:$Y$718,2,0),"")</f>
        <v>Obrábění</v>
      </c>
    </row>
    <row r="518" spans="13:26">
      <c r="M518" s="286">
        <f>IF(ISNUMBER(SEARCH(ZAKL_DATA!$B$29,N518)),MAX($M$2:M517)+1,0)</f>
        <v>516</v>
      </c>
      <c r="N518" s="791" t="s">
        <v>1827</v>
      </c>
      <c r="O518" s="791" t="s">
        <v>3909</v>
      </c>
      <c r="Q518" s="288" t="str">
        <f>IFERROR(VLOOKUP(ROWS($Q$3:Q518),$M$3:$N$718,2,0),"")</f>
        <v>Výroba kakaa, čokolády a cukrovinek</v>
      </c>
      <c r="R518">
        <f>IF(ISNUMBER(SEARCH('1Př1'!$A$32,N518)),MAX($M$2:M517)+1,0)</f>
        <v>516</v>
      </c>
      <c r="S518" s="287" t="s">
        <v>1939</v>
      </c>
      <c r="T518" t="str">
        <f>IFERROR(VLOOKUP(ROWS($T$3:T518),$R$3:$S$718,2,0),"")</f>
        <v>Výroba nožířských výrobků</v>
      </c>
      <c r="U518">
        <f>IF(ISNUMBER(SEARCH('1Př1'!$A$33,N518)),MAX($M$2:M517)+1,0)</f>
        <v>516</v>
      </c>
      <c r="V518" s="287" t="s">
        <v>1939</v>
      </c>
      <c r="W518" t="str">
        <f>IFERROR(VLOOKUP(ROWS($W$3:W518),$U$3:$V$718,2,0),"")</f>
        <v>Výroba nožířských výrobků</v>
      </c>
      <c r="X518">
        <f>IF(ISNUMBER(SEARCH('1Př1'!$A$34,N518)),MAX($M$2:M517)+1,0)</f>
        <v>516</v>
      </c>
      <c r="Y518" s="287" t="s">
        <v>1939</v>
      </c>
      <c r="Z518" t="str">
        <f>IFERROR(VLOOKUP(ROWS($Z$3:Z518),$X$3:$Y$718,2,0),"")</f>
        <v>Výroba nožířských výrobků</v>
      </c>
    </row>
    <row r="519" spans="13:26">
      <c r="M519" s="286">
        <f>IF(ISNUMBER(SEARCH(ZAKL_DATA!$B$29,N519)),MAX($M$2:M518)+1,0)</f>
        <v>517</v>
      </c>
      <c r="N519" s="791" t="s">
        <v>1871</v>
      </c>
      <c r="O519" s="791" t="s">
        <v>3910</v>
      </c>
      <c r="Q519" s="288" t="str">
        <f>IFERROR(VLOOKUP(ROWS($Q$3:Q519),$M$3:$N$718,2,0),"")</f>
        <v>Výroba kancelářských potřeb z papíru</v>
      </c>
      <c r="R519">
        <f>IF(ISNUMBER(SEARCH('1Př1'!$A$32,N519)),MAX($M$2:M518)+1,0)</f>
        <v>517</v>
      </c>
      <c r="S519" s="287" t="s">
        <v>1940</v>
      </c>
      <c r="T519" t="str">
        <f>IFERROR(VLOOKUP(ROWS($T$3:T519),$R$3:$S$718,2,0),"")</f>
        <v>Výroba zámků a kování</v>
      </c>
      <c r="U519">
        <f>IF(ISNUMBER(SEARCH('1Př1'!$A$33,N519)),MAX($M$2:M518)+1,0)</f>
        <v>517</v>
      </c>
      <c r="V519" s="287" t="s">
        <v>1940</v>
      </c>
      <c r="W519" t="str">
        <f>IFERROR(VLOOKUP(ROWS($W$3:W519),$U$3:$V$718,2,0),"")</f>
        <v>Výroba zámků a kování</v>
      </c>
      <c r="X519">
        <f>IF(ISNUMBER(SEARCH('1Př1'!$A$34,N519)),MAX($M$2:M518)+1,0)</f>
        <v>517</v>
      </c>
      <c r="Y519" s="287" t="s">
        <v>1940</v>
      </c>
      <c r="Z519" t="str">
        <f>IFERROR(VLOOKUP(ROWS($Z$3:Z519),$X$3:$Y$718,2,0),"")</f>
        <v>Výroba zámků a kování</v>
      </c>
    </row>
    <row r="520" spans="13:26" ht="25.5">
      <c r="M520" s="286">
        <f>IF(ISNUMBER(SEARCH(ZAKL_DATA!$B$29,N520)),MAX($M$2:M519)+1,0)</f>
        <v>518</v>
      </c>
      <c r="N520" s="791" t="s">
        <v>3911</v>
      </c>
      <c r="O520" s="791" t="s">
        <v>3912</v>
      </c>
      <c r="Q520" s="288" t="str">
        <f>IFERROR(VLOOKUP(ROWS($Q$3:Q520),$M$3:$N$718,2,0),"")</f>
        <v>Výroba kancelářských strojů a zařízení, kromě počítačů a periferních zařízení</v>
      </c>
      <c r="R520">
        <f>IF(ISNUMBER(SEARCH('1Př1'!$A$32,N520)),MAX($M$2:M519)+1,0)</f>
        <v>518</v>
      </c>
      <c r="S520" s="287" t="s">
        <v>1941</v>
      </c>
      <c r="T520" t="str">
        <f>IFERROR(VLOOKUP(ROWS($T$3:T520),$R$3:$S$718,2,0),"")</f>
        <v>Výroba nástrojů a nářadí</v>
      </c>
      <c r="U520">
        <f>IF(ISNUMBER(SEARCH('1Př1'!$A$33,N520)),MAX($M$2:M519)+1,0)</f>
        <v>518</v>
      </c>
      <c r="V520" s="287" t="s">
        <v>1941</v>
      </c>
      <c r="W520" t="str">
        <f>IFERROR(VLOOKUP(ROWS($W$3:W520),$U$3:$V$718,2,0),"")</f>
        <v>Výroba nástrojů a nářadí</v>
      </c>
      <c r="X520">
        <f>IF(ISNUMBER(SEARCH('1Př1'!$A$34,N520)),MAX($M$2:M519)+1,0)</f>
        <v>518</v>
      </c>
      <c r="Y520" s="287" t="s">
        <v>1941</v>
      </c>
      <c r="Z520" t="str">
        <f>IFERROR(VLOOKUP(ROWS($Z$3:Z520),$X$3:$Y$718,2,0),"")</f>
        <v>Výroba nástrojů a nářadí</v>
      </c>
    </row>
    <row r="521" spans="13:26">
      <c r="M521" s="286">
        <f>IF(ISNUMBER(SEARCH(ZAKL_DATA!$B$29,N521)),MAX($M$2:M520)+1,0)</f>
        <v>519</v>
      </c>
      <c r="N521" s="791" t="s">
        <v>3913</v>
      </c>
      <c r="O521" s="791" t="s">
        <v>3914</v>
      </c>
      <c r="Q521" s="288" t="str">
        <f>IFERROR(VLOOKUP(ROWS($Q$3:Q521),$M$3:$N$718,2,0),"")</f>
        <v>Výroba kapalných biopaliv</v>
      </c>
      <c r="R521">
        <f>IF(ISNUMBER(SEARCH('1Př1'!$A$32,N521)),MAX($M$2:M520)+1,0)</f>
        <v>519</v>
      </c>
      <c r="S521" s="287" t="s">
        <v>1942</v>
      </c>
      <c r="T521" t="str">
        <f>IFERROR(VLOOKUP(ROWS($T$3:T521),$R$3:$S$718,2,0),"")</f>
        <v>Výroba ocelových sudů a podobných nádob</v>
      </c>
      <c r="U521">
        <f>IF(ISNUMBER(SEARCH('1Př1'!$A$33,N521)),MAX($M$2:M520)+1,0)</f>
        <v>519</v>
      </c>
      <c r="V521" s="287" t="s">
        <v>1942</v>
      </c>
      <c r="W521" t="str">
        <f>IFERROR(VLOOKUP(ROWS($W$3:W521),$U$3:$V$718,2,0),"")</f>
        <v>Výroba ocelových sudů a podobných nádob</v>
      </c>
      <c r="X521">
        <f>IF(ISNUMBER(SEARCH('1Př1'!$A$34,N521)),MAX($M$2:M520)+1,0)</f>
        <v>519</v>
      </c>
      <c r="Y521" s="287" t="s">
        <v>1942</v>
      </c>
      <c r="Z521" t="str">
        <f>IFERROR(VLOOKUP(ROWS($Z$3:Z521),$X$3:$Y$718,2,0),"")</f>
        <v>Výroba ocelových sudů a podobných nádob</v>
      </c>
    </row>
    <row r="522" spans="13:26" ht="25.5">
      <c r="M522" s="286">
        <f>IF(ISNUMBER(SEARCH(ZAKL_DATA!$B$29,N522)),MAX($M$2:M521)+1,0)</f>
        <v>520</v>
      </c>
      <c r="N522" s="791" t="s">
        <v>1573</v>
      </c>
      <c r="O522" s="791" t="s">
        <v>3915</v>
      </c>
      <c r="Q522" s="288" t="str">
        <f>IFERROR(VLOOKUP(ROWS($Q$3:Q522),$M$3:$N$718,2,0),"")</f>
        <v>Výroba karoserií motorových vozidel; výroba přívěsů a návěsů</v>
      </c>
      <c r="R522">
        <f>IF(ISNUMBER(SEARCH('1Př1'!$A$32,N522)),MAX($M$2:M521)+1,0)</f>
        <v>520</v>
      </c>
      <c r="S522" s="287" t="s">
        <v>1943</v>
      </c>
      <c r="T522" t="str">
        <f>IFERROR(VLOOKUP(ROWS($T$3:T522),$R$3:$S$718,2,0),"")</f>
        <v>Výroba drobných kovových obalů</v>
      </c>
      <c r="U522">
        <f>IF(ISNUMBER(SEARCH('1Př1'!$A$33,N522)),MAX($M$2:M521)+1,0)</f>
        <v>520</v>
      </c>
      <c r="V522" s="287" t="s">
        <v>1943</v>
      </c>
      <c r="W522" t="str">
        <f>IFERROR(VLOOKUP(ROWS($W$3:W522),$U$3:$V$718,2,0),"")</f>
        <v>Výroba drobných kovových obalů</v>
      </c>
      <c r="X522">
        <f>IF(ISNUMBER(SEARCH('1Př1'!$A$34,N522)),MAX($M$2:M521)+1,0)</f>
        <v>520</v>
      </c>
      <c r="Y522" s="287" t="s">
        <v>1943</v>
      </c>
      <c r="Z522" t="str">
        <f>IFERROR(VLOOKUP(ROWS($Z$3:Z522),$X$3:$Y$718,2,0),"")</f>
        <v>Výroba drobných kovových obalů</v>
      </c>
    </row>
    <row r="523" spans="13:26" ht="25.5">
      <c r="M523" s="286">
        <f>IF(ISNUMBER(SEARCH(ZAKL_DATA!$B$29,N523)),MAX($M$2:M522)+1,0)</f>
        <v>521</v>
      </c>
      <c r="N523" s="791" t="s">
        <v>1906</v>
      </c>
      <c r="O523" s="791" t="s">
        <v>3916</v>
      </c>
      <c r="Q523" s="288" t="str">
        <f>IFERROR(VLOOKUP(ROWS($Q$3:Q523),$M$3:$N$718,2,0),"")</f>
        <v>Výroba keramických izolátorů a izolačního příslušenství</v>
      </c>
      <c r="R523">
        <f>IF(ISNUMBER(SEARCH('1Př1'!$A$32,N523)),MAX($M$2:M522)+1,0)</f>
        <v>521</v>
      </c>
      <c r="S523" s="287" t="s">
        <v>1944</v>
      </c>
      <c r="T523" t="str">
        <f>IFERROR(VLOOKUP(ROWS($T$3:T523),$R$3:$S$718,2,0),"")</f>
        <v>Výroba drátěných výrobků, řetězů a pružin</v>
      </c>
      <c r="U523">
        <f>IF(ISNUMBER(SEARCH('1Př1'!$A$33,N523)),MAX($M$2:M522)+1,0)</f>
        <v>521</v>
      </c>
      <c r="V523" s="287" t="s">
        <v>1944</v>
      </c>
      <c r="W523" t="str">
        <f>IFERROR(VLOOKUP(ROWS($W$3:W523),$U$3:$V$718,2,0),"")</f>
        <v>Výroba drátěných výrobků, řetězů a pružin</v>
      </c>
      <c r="X523">
        <f>IF(ISNUMBER(SEARCH('1Př1'!$A$34,N523)),MAX($M$2:M522)+1,0)</f>
        <v>521</v>
      </c>
      <c r="Y523" s="287" t="s">
        <v>1944</v>
      </c>
      <c r="Z523" t="str">
        <f>IFERROR(VLOOKUP(ROWS($Z$3:Z523),$X$3:$Y$718,2,0),"")</f>
        <v>Výroba drátěných výrobků, řetězů a pružin</v>
      </c>
    </row>
    <row r="524" spans="13:26">
      <c r="M524" s="286">
        <f>IF(ISNUMBER(SEARCH(ZAKL_DATA!$B$29,N524)),MAX($M$2:M523)+1,0)</f>
        <v>522</v>
      </c>
      <c r="N524" s="791" t="s">
        <v>3917</v>
      </c>
      <c r="O524" s="791" t="s">
        <v>3918</v>
      </c>
      <c r="Q524" s="288" t="str">
        <f>IFERROR(VLOOKUP(ROWS($Q$3:Q524),$M$3:$N$718,2,0),"")</f>
        <v>Výroba keramických obkladaček a dlaždic</v>
      </c>
      <c r="R524">
        <f>IF(ISNUMBER(SEARCH('1Př1'!$A$32,N524)),MAX($M$2:M523)+1,0)</f>
        <v>522</v>
      </c>
      <c r="S524" s="287" t="s">
        <v>1945</v>
      </c>
      <c r="T524" t="str">
        <f>IFERROR(VLOOKUP(ROWS($T$3:T524),$R$3:$S$718,2,0),"")</f>
        <v>Výroba spojovacích materiálů a spojovacích výrobků se závity</v>
      </c>
      <c r="U524">
        <f>IF(ISNUMBER(SEARCH('1Př1'!$A$33,N524)),MAX($M$2:M523)+1,0)</f>
        <v>522</v>
      </c>
      <c r="V524" s="287" t="s">
        <v>1945</v>
      </c>
      <c r="W524" t="str">
        <f>IFERROR(VLOOKUP(ROWS($W$3:W524),$U$3:$V$718,2,0),"")</f>
        <v>Výroba spojovacích materiálů a spojovacích výrobků se závity</v>
      </c>
      <c r="X524">
        <f>IF(ISNUMBER(SEARCH('1Př1'!$A$34,N524)),MAX($M$2:M523)+1,0)</f>
        <v>522</v>
      </c>
      <c r="Y524" s="287" t="s">
        <v>1945</v>
      </c>
      <c r="Z524" t="str">
        <f>IFERROR(VLOOKUP(ROWS($Z$3:Z524),$X$3:$Y$718,2,0),"")</f>
        <v>Výroba spojovacích materiálů a spojovacích výrobků se závity</v>
      </c>
    </row>
    <row r="525" spans="13:26">
      <c r="M525" s="286">
        <f>IF(ISNUMBER(SEARCH(ZAKL_DATA!$B$29,N525)),MAX($M$2:M524)+1,0)</f>
        <v>523</v>
      </c>
      <c r="N525" s="791" t="s">
        <v>1905</v>
      </c>
      <c r="O525" s="791" t="s">
        <v>3919</v>
      </c>
      <c r="Q525" s="288" t="str">
        <f>IFERROR(VLOOKUP(ROWS($Q$3:Q525),$M$3:$N$718,2,0),"")</f>
        <v>Výroba keramických sanitárních výrobků</v>
      </c>
      <c r="R525">
        <f>IF(ISNUMBER(SEARCH('1Př1'!$A$32,N525)),MAX($M$2:M524)+1,0)</f>
        <v>523</v>
      </c>
      <c r="S525" s="287" t="s">
        <v>1946</v>
      </c>
      <c r="T525" t="str">
        <f>IFERROR(VLOOKUP(ROWS($T$3:T525),$R$3:$S$718,2,0),"")</f>
        <v>Výroba ostatních kovodělných výrobků j. n.</v>
      </c>
      <c r="U525">
        <f>IF(ISNUMBER(SEARCH('1Př1'!$A$33,N525)),MAX($M$2:M524)+1,0)</f>
        <v>523</v>
      </c>
      <c r="V525" s="287" t="s">
        <v>1946</v>
      </c>
      <c r="W525" t="str">
        <f>IFERROR(VLOOKUP(ROWS($W$3:W525),$U$3:$V$718,2,0),"")</f>
        <v>Výroba ostatních kovodělných výrobků j. n.</v>
      </c>
      <c r="X525">
        <f>IF(ISNUMBER(SEARCH('1Př1'!$A$34,N525)),MAX($M$2:M524)+1,0)</f>
        <v>523</v>
      </c>
      <c r="Y525" s="287" t="s">
        <v>1946</v>
      </c>
      <c r="Z525" t="str">
        <f>IFERROR(VLOOKUP(ROWS($Z$3:Z525),$X$3:$Y$718,2,0),"")</f>
        <v>Výroba ostatních kovodělných výrobků j. n.</v>
      </c>
    </row>
    <row r="526" spans="13:26">
      <c r="M526" s="286">
        <f>IF(ISNUMBER(SEARCH(ZAKL_DATA!$B$29,N526)),MAX($M$2:M525)+1,0)</f>
        <v>524</v>
      </c>
      <c r="N526" s="791" t="s">
        <v>1990</v>
      </c>
      <c r="O526" s="791" t="s">
        <v>3920</v>
      </c>
      <c r="Q526" s="288" t="str">
        <f>IFERROR(VLOOKUP(ROWS($Q$3:Q526),$M$3:$N$718,2,0),"")</f>
        <v>Výroba klenotů a příbuzných výrobků</v>
      </c>
      <c r="R526">
        <f>IF(ISNUMBER(SEARCH('1Př1'!$A$32,N526)),MAX($M$2:M525)+1,0)</f>
        <v>524</v>
      </c>
      <c r="S526" s="287" t="s">
        <v>1947</v>
      </c>
      <c r="T526" t="str">
        <f>IFERROR(VLOOKUP(ROWS($T$3:T526),$R$3:$S$718,2,0),"")</f>
        <v>Výroba elektronických součástek</v>
      </c>
      <c r="U526">
        <f>IF(ISNUMBER(SEARCH('1Př1'!$A$33,N526)),MAX($M$2:M525)+1,0)</f>
        <v>524</v>
      </c>
      <c r="V526" s="287" t="s">
        <v>1947</v>
      </c>
      <c r="W526" t="str">
        <f>IFERROR(VLOOKUP(ROWS($W$3:W526),$U$3:$V$718,2,0),"")</f>
        <v>Výroba elektronických součástek</v>
      </c>
      <c r="X526">
        <f>IF(ISNUMBER(SEARCH('1Př1'!$A$34,N526)),MAX($M$2:M525)+1,0)</f>
        <v>524</v>
      </c>
      <c r="Y526" s="287" t="s">
        <v>1947</v>
      </c>
      <c r="Z526" t="str">
        <f>IFERROR(VLOOKUP(ROWS($Z$3:Z526),$X$3:$Y$718,2,0),"")</f>
        <v>Výroba elektronických součástek</v>
      </c>
    </row>
    <row r="527" spans="13:26" ht="25.5">
      <c r="M527" s="286">
        <f>IF(ISNUMBER(SEARCH(ZAKL_DATA!$B$29,N527)),MAX($M$2:M526)+1,0)</f>
        <v>525</v>
      </c>
      <c r="N527" s="791" t="s">
        <v>3921</v>
      </c>
      <c r="O527" s="791" t="s">
        <v>3922</v>
      </c>
      <c r="Q527" s="288" t="str">
        <f>IFERROR(VLOOKUP(ROWS($Q$3:Q527),$M$3:$N$718,2,0),"")</f>
        <v>Výroba klimatizačních zařízení jiných než pro domácnost</v>
      </c>
      <c r="R527">
        <f>IF(ISNUMBER(SEARCH('1Př1'!$A$32,N527)),MAX($M$2:M526)+1,0)</f>
        <v>525</v>
      </c>
      <c r="S527" s="287" t="s">
        <v>1948</v>
      </c>
      <c r="T527" t="str">
        <f>IFERROR(VLOOKUP(ROWS($T$3:T527),$R$3:$S$718,2,0),"")</f>
        <v>Výroba osazených elektronických desek</v>
      </c>
      <c r="U527">
        <f>IF(ISNUMBER(SEARCH('1Př1'!$A$33,N527)),MAX($M$2:M526)+1,0)</f>
        <v>525</v>
      </c>
      <c r="V527" s="287" t="s">
        <v>1948</v>
      </c>
      <c r="W527" t="str">
        <f>IFERROR(VLOOKUP(ROWS($W$3:W527),$U$3:$V$718,2,0),"")</f>
        <v>Výroba osazených elektronických desek</v>
      </c>
      <c r="X527">
        <f>IF(ISNUMBER(SEARCH('1Př1'!$A$34,N527)),MAX($M$2:M526)+1,0)</f>
        <v>525</v>
      </c>
      <c r="Y527" s="287" t="s">
        <v>1948</v>
      </c>
      <c r="Z527" t="str">
        <f>IFERROR(VLOOKUP(ROWS($Z$3:Z527),$X$3:$Y$718,2,0),"")</f>
        <v>Výroba osazených elektronických desek</v>
      </c>
    </row>
    <row r="528" spans="13:26">
      <c r="M528" s="286">
        <f>IF(ISNUMBER(SEARCH(ZAKL_DATA!$B$29,N528)),MAX($M$2:M527)+1,0)</f>
        <v>526</v>
      </c>
      <c r="N528" s="791" t="s">
        <v>1844</v>
      </c>
      <c r="O528" s="791" t="s">
        <v>3923</v>
      </c>
      <c r="Q528" s="288" t="str">
        <f>IFERROR(VLOOKUP(ROWS($Q$3:Q528),$M$3:$N$718,2,0),"")</f>
        <v>Výroba koberců a kobercových předložek</v>
      </c>
      <c r="R528">
        <f>IF(ISNUMBER(SEARCH('1Př1'!$A$32,N528)),MAX($M$2:M527)+1,0)</f>
        <v>526</v>
      </c>
      <c r="S528" s="287" t="s">
        <v>1949</v>
      </c>
      <c r="T528" t="str">
        <f>IFERROR(VLOOKUP(ROWS($T$3:T528),$R$3:$S$718,2,0),"")</f>
        <v>Výroba měřicích, zkušebních a navigačních přístrojů</v>
      </c>
      <c r="U528">
        <f>IF(ISNUMBER(SEARCH('1Př1'!$A$33,N528)),MAX($M$2:M527)+1,0)</f>
        <v>526</v>
      </c>
      <c r="V528" s="287" t="s">
        <v>1949</v>
      </c>
      <c r="W528" t="str">
        <f>IFERROR(VLOOKUP(ROWS($W$3:W528),$U$3:$V$718,2,0),"")</f>
        <v>Výroba měřicích, zkušebních a navigačních přístrojů</v>
      </c>
      <c r="X528">
        <f>IF(ISNUMBER(SEARCH('1Př1'!$A$34,N528)),MAX($M$2:M527)+1,0)</f>
        <v>526</v>
      </c>
      <c r="Y528" s="287" t="s">
        <v>1949</v>
      </c>
      <c r="Z528" t="str">
        <f>IFERROR(VLOOKUP(ROWS($Z$3:Z528),$X$3:$Y$718,2,0),"")</f>
        <v>Výroba měřicích, zkušebních a navigačních přístrojů</v>
      </c>
    </row>
    <row r="529" spans="13:26">
      <c r="M529" s="286">
        <f>IF(ISNUMBER(SEARCH(ZAKL_DATA!$B$29,N529)),MAX($M$2:M528)+1,0)</f>
        <v>527</v>
      </c>
      <c r="N529" s="791" t="s">
        <v>1377</v>
      </c>
      <c r="O529" s="791" t="s">
        <v>3924</v>
      </c>
      <c r="Q529" s="288" t="str">
        <f>IFERROR(VLOOKUP(ROWS($Q$3:Q529),$M$3:$N$718,2,0),"")</f>
        <v>Výroba koksárenských produktů</v>
      </c>
      <c r="R529">
        <f>IF(ISNUMBER(SEARCH('1Př1'!$A$32,N529)),MAX($M$2:M528)+1,0)</f>
        <v>527</v>
      </c>
      <c r="S529" s="287" t="s">
        <v>1950</v>
      </c>
      <c r="T529" t="str">
        <f>IFERROR(VLOOKUP(ROWS($T$3:T529),$R$3:$S$718,2,0),"")</f>
        <v>Výroba časoměrných přístrojů</v>
      </c>
      <c r="U529">
        <f>IF(ISNUMBER(SEARCH('1Př1'!$A$33,N529)),MAX($M$2:M528)+1,0)</f>
        <v>527</v>
      </c>
      <c r="V529" s="287" t="s">
        <v>1950</v>
      </c>
      <c r="W529" t="str">
        <f>IFERROR(VLOOKUP(ROWS($W$3:W529),$U$3:$V$718,2,0),"")</f>
        <v>Výroba časoměrných přístrojů</v>
      </c>
      <c r="X529">
        <f>IF(ISNUMBER(SEARCH('1Př1'!$A$34,N529)),MAX($M$2:M528)+1,0)</f>
        <v>527</v>
      </c>
      <c r="Y529" s="287" t="s">
        <v>1950</v>
      </c>
      <c r="Z529" t="str">
        <f>IFERROR(VLOOKUP(ROWS($Z$3:Z529),$X$3:$Y$718,2,0),"")</f>
        <v>Výroba časoměrných přístrojů</v>
      </c>
    </row>
    <row r="530" spans="13:26">
      <c r="M530" s="286">
        <f>IF(ISNUMBER(SEARCH(ZAKL_DATA!$B$29,N530)),MAX($M$2:M529)+1,0)</f>
        <v>528</v>
      </c>
      <c r="N530" s="791" t="s">
        <v>1517</v>
      </c>
      <c r="O530" s="791" t="s">
        <v>3925</v>
      </c>
      <c r="Q530" s="288" t="str">
        <f>IFERROR(VLOOKUP(ROWS($Q$3:Q530),$M$3:$N$718,2,0),"")</f>
        <v>Výroba komunikačních zařízení</v>
      </c>
      <c r="R530">
        <f>IF(ISNUMBER(SEARCH('1Př1'!$A$32,N530)),MAX($M$2:M529)+1,0)</f>
        <v>528</v>
      </c>
      <c r="S530" s="287" t="s">
        <v>1951</v>
      </c>
      <c r="T530" t="str">
        <f>IFERROR(VLOOKUP(ROWS($T$3:T530),$R$3:$S$718,2,0),"")</f>
        <v>Výroba elektrických motorů, generátorů a transformátorů</v>
      </c>
      <c r="U530">
        <f>IF(ISNUMBER(SEARCH('1Př1'!$A$33,N530)),MAX($M$2:M529)+1,0)</f>
        <v>528</v>
      </c>
      <c r="V530" s="287" t="s">
        <v>1951</v>
      </c>
      <c r="W530" t="str">
        <f>IFERROR(VLOOKUP(ROWS($W$3:W530),$U$3:$V$718,2,0),"")</f>
        <v>Výroba elektrických motorů, generátorů a transformátorů</v>
      </c>
      <c r="X530">
        <f>IF(ISNUMBER(SEARCH('1Př1'!$A$34,N530)),MAX($M$2:M529)+1,0)</f>
        <v>528</v>
      </c>
      <c r="Y530" s="287" t="s">
        <v>1951</v>
      </c>
      <c r="Z530" t="str">
        <f>IFERROR(VLOOKUP(ROWS($Z$3:Z530),$X$3:$Y$718,2,0),"")</f>
        <v>Výroba elektrických motorů, generátorů a transformátorů</v>
      </c>
    </row>
    <row r="531" spans="13:26">
      <c r="M531" s="286">
        <f>IF(ISNUMBER(SEARCH(ZAKL_DATA!$B$29,N531)),MAX($M$2:M530)+1,0)</f>
        <v>529</v>
      </c>
      <c r="N531" s="791" t="s">
        <v>3926</v>
      </c>
      <c r="O531" s="791" t="s">
        <v>3927</v>
      </c>
      <c r="Q531" s="288" t="str">
        <f>IFERROR(VLOOKUP(ROWS($Q$3:Q531),$M$3:$N$718,2,0),"")</f>
        <v>Výroba koření a přísad pro ochucení</v>
      </c>
      <c r="R531">
        <f>IF(ISNUMBER(SEARCH('1Př1'!$A$32,N531)),MAX($M$2:M530)+1,0)</f>
        <v>529</v>
      </c>
      <c r="S531" s="287" t="s">
        <v>1952</v>
      </c>
      <c r="T531" t="str">
        <f>IFERROR(VLOOKUP(ROWS($T$3:T531),$R$3:$S$718,2,0),"")</f>
        <v>Výroba elektrických rozvodných a kontrolních zařízení</v>
      </c>
      <c r="U531">
        <f>IF(ISNUMBER(SEARCH('1Př1'!$A$33,N531)),MAX($M$2:M530)+1,0)</f>
        <v>529</v>
      </c>
      <c r="V531" s="287" t="s">
        <v>1952</v>
      </c>
      <c r="W531" t="str">
        <f>IFERROR(VLOOKUP(ROWS($W$3:W531),$U$3:$V$718,2,0),"")</f>
        <v>Výroba elektrických rozvodných a kontrolních zařízení</v>
      </c>
      <c r="X531">
        <f>IF(ISNUMBER(SEARCH('1Př1'!$A$34,N531)),MAX($M$2:M530)+1,0)</f>
        <v>529</v>
      </c>
      <c r="Y531" s="287" t="s">
        <v>1952</v>
      </c>
      <c r="Z531" t="str">
        <f>IFERROR(VLOOKUP(ROWS($Z$3:Z531),$X$3:$Y$718,2,0),"")</f>
        <v>Výroba elektrických rozvodných a kontrolních zařízení</v>
      </c>
    </row>
    <row r="532" spans="13:26">
      <c r="M532" s="286">
        <f>IF(ISNUMBER(SEARCH(ZAKL_DATA!$B$29,N532)),MAX($M$2:M531)+1,0)</f>
        <v>530</v>
      </c>
      <c r="N532" s="791" t="s">
        <v>1992</v>
      </c>
      <c r="O532" s="791" t="s">
        <v>3928</v>
      </c>
      <c r="Q532" s="288" t="str">
        <f>IFERROR(VLOOKUP(ROWS($Q$3:Q532),$M$3:$N$718,2,0),"")</f>
        <v>Výroba košťat a kartáčnických výrobků</v>
      </c>
      <c r="R532">
        <f>IF(ISNUMBER(SEARCH('1Př1'!$A$32,N532)),MAX($M$2:M531)+1,0)</f>
        <v>530</v>
      </c>
      <c r="S532" s="287" t="s">
        <v>1953</v>
      </c>
      <c r="T532" t="str">
        <f>IFERROR(VLOOKUP(ROWS($T$3:T532),$R$3:$S$718,2,0),"")</f>
        <v>Výroba optických kabelů</v>
      </c>
      <c r="U532">
        <f>IF(ISNUMBER(SEARCH('1Př1'!$A$33,N532)),MAX($M$2:M531)+1,0)</f>
        <v>530</v>
      </c>
      <c r="V532" s="287" t="s">
        <v>1953</v>
      </c>
      <c r="W532" t="str">
        <f>IFERROR(VLOOKUP(ROWS($W$3:W532),$U$3:$V$718,2,0),"")</f>
        <v>Výroba optických kabelů</v>
      </c>
      <c r="X532">
        <f>IF(ISNUMBER(SEARCH('1Př1'!$A$34,N532)),MAX($M$2:M531)+1,0)</f>
        <v>530</v>
      </c>
      <c r="Y532" s="287" t="s">
        <v>1953</v>
      </c>
      <c r="Z532" t="str">
        <f>IFERROR(VLOOKUP(ROWS($Z$3:Z532),$X$3:$Y$718,2,0),"")</f>
        <v>Výroba optických kabelů</v>
      </c>
    </row>
    <row r="533" spans="13:26">
      <c r="M533" s="286">
        <f>IF(ISNUMBER(SEARCH(ZAKL_DATA!$B$29,N533)),MAX($M$2:M532)+1,0)</f>
        <v>531</v>
      </c>
      <c r="N533" s="791" t="s">
        <v>1934</v>
      </c>
      <c r="O533" s="791" t="s">
        <v>3929</v>
      </c>
      <c r="Q533" s="288" t="str">
        <f>IFERROR(VLOOKUP(ROWS($Q$3:Q533),$M$3:$N$718,2,0),"")</f>
        <v>Výroba kovových dveří a oken</v>
      </c>
      <c r="R533">
        <f>IF(ISNUMBER(SEARCH('1Př1'!$A$32,N533)),MAX($M$2:M532)+1,0)</f>
        <v>531</v>
      </c>
      <c r="S533" s="287" t="s">
        <v>1954</v>
      </c>
      <c r="T533" t="str">
        <f>IFERROR(VLOOKUP(ROWS($T$3:T533),$R$3:$S$718,2,0),"")</f>
        <v>Výroba elektrických vodičů a kabelů j. n.</v>
      </c>
      <c r="U533">
        <f>IF(ISNUMBER(SEARCH('1Př1'!$A$33,N533)),MAX($M$2:M532)+1,0)</f>
        <v>531</v>
      </c>
      <c r="V533" s="287" t="s">
        <v>1954</v>
      </c>
      <c r="W533" t="str">
        <f>IFERROR(VLOOKUP(ROWS($W$3:W533),$U$3:$V$718,2,0),"")</f>
        <v>Výroba elektrických vodičů a kabelů j. n.</v>
      </c>
      <c r="X533">
        <f>IF(ISNUMBER(SEARCH('1Př1'!$A$34,N533)),MAX($M$2:M532)+1,0)</f>
        <v>531</v>
      </c>
      <c r="Y533" s="287" t="s">
        <v>1954</v>
      </c>
      <c r="Z533" t="str">
        <f>IFERROR(VLOOKUP(ROWS($Z$3:Z533),$X$3:$Y$718,2,0),"")</f>
        <v>Výroba elektrických vodičů a kabelů j. n.</v>
      </c>
    </row>
    <row r="534" spans="13:26">
      <c r="M534" s="286">
        <f>IF(ISNUMBER(SEARCH(ZAKL_DATA!$B$29,N534)),MAX($M$2:M533)+1,0)</f>
        <v>532</v>
      </c>
      <c r="N534" s="791" t="s">
        <v>1933</v>
      </c>
      <c r="O534" s="791" t="s">
        <v>3930</v>
      </c>
      <c r="Q534" s="288" t="str">
        <f>IFERROR(VLOOKUP(ROWS($Q$3:Q534),$M$3:$N$718,2,0),"")</f>
        <v>Výroba kovových konstrukcí a jejich dílů</v>
      </c>
      <c r="R534">
        <f>IF(ISNUMBER(SEARCH('1Př1'!$A$32,N534)),MAX($M$2:M533)+1,0)</f>
        <v>532</v>
      </c>
      <c r="S534" s="287" t="s">
        <v>1955</v>
      </c>
      <c r="T534" t="str">
        <f>IFERROR(VLOOKUP(ROWS($T$3:T534),$R$3:$S$718,2,0),"")</f>
        <v>Výroba elektroinstalačních zařízení</v>
      </c>
      <c r="U534">
        <f>IF(ISNUMBER(SEARCH('1Př1'!$A$33,N534)),MAX($M$2:M533)+1,0)</f>
        <v>532</v>
      </c>
      <c r="V534" s="287" t="s">
        <v>1955</v>
      </c>
      <c r="W534" t="str">
        <f>IFERROR(VLOOKUP(ROWS($W$3:W534),$U$3:$V$718,2,0),"")</f>
        <v>Výroba elektroinstalačních zařízení</v>
      </c>
      <c r="X534">
        <f>IF(ISNUMBER(SEARCH('1Př1'!$A$34,N534)),MAX($M$2:M533)+1,0)</f>
        <v>532</v>
      </c>
      <c r="Y534" s="287" t="s">
        <v>1955</v>
      </c>
      <c r="Z534" t="str">
        <f>IFERROR(VLOOKUP(ROWS($Z$3:Z534),$X$3:$Y$718,2,0),"")</f>
        <v>Výroba elektroinstalačních zařízení</v>
      </c>
    </row>
    <row r="535" spans="13:26">
      <c r="M535" s="286">
        <f>IF(ISNUMBER(SEARCH(ZAKL_DATA!$B$29,N535)),MAX($M$2:M534)+1,0)</f>
        <v>533</v>
      </c>
      <c r="N535" s="791" t="s">
        <v>3931</v>
      </c>
      <c r="O535" s="791" t="s">
        <v>3932</v>
      </c>
      <c r="Q535" s="288" t="str">
        <f>IFERROR(VLOOKUP(ROWS($Q$3:Q535),$M$3:$N$718,2,0),"")</f>
        <v>Výroba kožených oděvů a kožešinových výrobků</v>
      </c>
      <c r="R535">
        <f>IF(ISNUMBER(SEARCH('1Př1'!$A$32,N535)),MAX($M$2:M534)+1,0)</f>
        <v>533</v>
      </c>
      <c r="S535" s="287" t="s">
        <v>1956</v>
      </c>
      <c r="T535" t="str">
        <f>IFERROR(VLOOKUP(ROWS($T$3:T535),$R$3:$S$718,2,0),"")</f>
        <v>Výroba elektrických spotřebičů převážně pro domácnost</v>
      </c>
      <c r="U535">
        <f>IF(ISNUMBER(SEARCH('1Př1'!$A$33,N535)),MAX($M$2:M534)+1,0)</f>
        <v>533</v>
      </c>
      <c r="V535" s="287" t="s">
        <v>1956</v>
      </c>
      <c r="W535" t="str">
        <f>IFERROR(VLOOKUP(ROWS($W$3:W535),$U$3:$V$718,2,0),"")</f>
        <v>Výroba elektrických spotřebičů převážně pro domácnost</v>
      </c>
      <c r="X535">
        <f>IF(ISNUMBER(SEARCH('1Př1'!$A$34,N535)),MAX($M$2:M534)+1,0)</f>
        <v>533</v>
      </c>
      <c r="Y535" s="287" t="s">
        <v>1956</v>
      </c>
      <c r="Z535" t="str">
        <f>IFERROR(VLOOKUP(ROWS($Z$3:Z535),$X$3:$Y$718,2,0),"")</f>
        <v>Výroba elektrických spotřebičů převážně pro domácnost</v>
      </c>
    </row>
    <row r="536" spans="13:26">
      <c r="M536" s="286">
        <f>IF(ISNUMBER(SEARCH(ZAKL_DATA!$B$29,N536)),MAX($M$2:M535)+1,0)</f>
        <v>534</v>
      </c>
      <c r="N536" s="791" t="s">
        <v>3933</v>
      </c>
      <c r="O536" s="791" t="s">
        <v>3934</v>
      </c>
      <c r="Q536" s="288" t="str">
        <f>IFERROR(VLOOKUP(ROWS($Q$3:Q536),$M$3:$N$718,2,0),"")</f>
        <v>Výroba krmiv pro hospodářská zvířata</v>
      </c>
      <c r="R536">
        <f>IF(ISNUMBER(SEARCH('1Př1'!$A$32,N536)),MAX($M$2:M535)+1,0)</f>
        <v>534</v>
      </c>
      <c r="S536" s="287" t="s">
        <v>1957</v>
      </c>
      <c r="T536" t="str">
        <f>IFERROR(VLOOKUP(ROWS($T$3:T536),$R$3:$S$718,2,0),"")</f>
        <v>Výroba neelektrických spotřebičů převážně pro domácnost</v>
      </c>
      <c r="U536">
        <f>IF(ISNUMBER(SEARCH('1Př1'!$A$33,N536)),MAX($M$2:M535)+1,0)</f>
        <v>534</v>
      </c>
      <c r="V536" s="287" t="s">
        <v>1957</v>
      </c>
      <c r="W536" t="str">
        <f>IFERROR(VLOOKUP(ROWS($W$3:W536),$U$3:$V$718,2,0),"")</f>
        <v>Výroba neelektrických spotřebičů převážně pro domácnost</v>
      </c>
      <c r="X536">
        <f>IF(ISNUMBER(SEARCH('1Př1'!$A$34,N536)),MAX($M$2:M535)+1,0)</f>
        <v>534</v>
      </c>
      <c r="Y536" s="287" t="s">
        <v>1957</v>
      </c>
      <c r="Z536" t="str">
        <f>IFERROR(VLOOKUP(ROWS($Z$3:Z536),$X$3:$Y$718,2,0),"")</f>
        <v>Výroba neelektrických spotřebičů převážně pro domácnost</v>
      </c>
    </row>
    <row r="537" spans="13:26">
      <c r="M537" s="286">
        <f>IF(ISNUMBER(SEARCH(ZAKL_DATA!$B$29,N537)),MAX($M$2:M536)+1,0)</f>
        <v>535</v>
      </c>
      <c r="N537" s="791" t="s">
        <v>3935</v>
      </c>
      <c r="O537" s="791" t="s">
        <v>3936</v>
      </c>
      <c r="Q537" s="288" t="str">
        <f>IFERROR(VLOOKUP(ROWS($Q$3:Q537),$M$3:$N$718,2,0),"")</f>
        <v>Výroba krmiv pro zvířata v zájmovém chovu</v>
      </c>
      <c r="R537">
        <f>IF(ISNUMBER(SEARCH('1Př1'!$A$32,N537)),MAX($M$2:M536)+1,0)</f>
        <v>535</v>
      </c>
      <c r="S537" s="287" t="s">
        <v>1958</v>
      </c>
      <c r="T537" t="str">
        <f>IFERROR(VLOOKUP(ROWS($T$3:T537),$R$3:$S$718,2,0),"")</f>
        <v>Výroba motorů a turbín, kromě motorů pro letadla, automobily a motocykly</v>
      </c>
      <c r="U537">
        <f>IF(ISNUMBER(SEARCH('1Př1'!$A$33,N537)),MAX($M$2:M536)+1,0)</f>
        <v>535</v>
      </c>
      <c r="V537" s="287" t="s">
        <v>1958</v>
      </c>
      <c r="W537" t="str">
        <f>IFERROR(VLOOKUP(ROWS($W$3:W537),$U$3:$V$718,2,0),"")</f>
        <v>Výroba motorů a turbín, kromě motorů pro letadla, automobily a motocykly</v>
      </c>
      <c r="X537">
        <f>IF(ISNUMBER(SEARCH('1Př1'!$A$34,N537)),MAX($M$2:M536)+1,0)</f>
        <v>535</v>
      </c>
      <c r="Y537" s="287" t="s">
        <v>1958</v>
      </c>
      <c r="Z537" t="str">
        <f>IFERROR(VLOOKUP(ROWS($Z$3:Z537),$X$3:$Y$718,2,0),"")</f>
        <v>Výroba motorů a turbín, kromě motorů pro letadla, automobily a motocykly</v>
      </c>
    </row>
    <row r="538" spans="13:26">
      <c r="M538" s="286">
        <f>IF(ISNUMBER(SEARCH(ZAKL_DATA!$B$29,N538)),MAX($M$2:M537)+1,0)</f>
        <v>536</v>
      </c>
      <c r="N538" s="791" t="s">
        <v>1845</v>
      </c>
      <c r="O538" s="791" t="s">
        <v>3937</v>
      </c>
      <c r="Q538" s="288" t="str">
        <f>IFERROR(VLOOKUP(ROWS($Q$3:Q538),$M$3:$N$718,2,0),"")</f>
        <v>Výroba lan, provazů a síťovaných výrobků</v>
      </c>
      <c r="R538">
        <f>IF(ISNUMBER(SEARCH('1Př1'!$A$32,N538)),MAX($M$2:M537)+1,0)</f>
        <v>536</v>
      </c>
      <c r="S538" s="287" t="s">
        <v>1959</v>
      </c>
      <c r="T538" t="str">
        <f>IFERROR(VLOOKUP(ROWS($T$3:T538),$R$3:$S$718,2,0),"")</f>
        <v>Výroba hydraulických a pneumatických zařízení</v>
      </c>
      <c r="U538">
        <f>IF(ISNUMBER(SEARCH('1Př1'!$A$33,N538)),MAX($M$2:M537)+1,0)</f>
        <v>536</v>
      </c>
      <c r="V538" s="287" t="s">
        <v>1959</v>
      </c>
      <c r="W538" t="str">
        <f>IFERROR(VLOOKUP(ROWS($W$3:W538),$U$3:$V$718,2,0),"")</f>
        <v>Výroba hydraulických a pneumatických zařízení</v>
      </c>
      <c r="X538">
        <f>IF(ISNUMBER(SEARCH('1Př1'!$A$34,N538)),MAX($M$2:M537)+1,0)</f>
        <v>536</v>
      </c>
      <c r="Y538" s="287" t="s">
        <v>1959</v>
      </c>
      <c r="Z538" t="str">
        <f>IFERROR(VLOOKUP(ROWS($Z$3:Z538),$X$3:$Y$718,2,0),"")</f>
        <v>Výroba hydraulických a pneumatických zařízení</v>
      </c>
    </row>
    <row r="539" spans="13:26">
      <c r="M539" s="286">
        <f>IF(ISNUMBER(SEARCH(ZAKL_DATA!$B$29,N539)),MAX($M$2:M538)+1,0)</f>
        <v>537</v>
      </c>
      <c r="N539" s="791" t="s">
        <v>1618</v>
      </c>
      <c r="O539" s="791" t="s">
        <v>3938</v>
      </c>
      <c r="Q539" s="288" t="str">
        <f>IFERROR(VLOOKUP(ROWS($Q$3:Q539),$M$3:$N$718,2,0),"")</f>
        <v>Výroba lékařských a dentálních nástrojů a potřeb</v>
      </c>
      <c r="R539">
        <f>IF(ISNUMBER(SEARCH('1Př1'!$A$32,N539)),MAX($M$2:M538)+1,0)</f>
        <v>537</v>
      </c>
      <c r="S539" s="287" t="s">
        <v>1960</v>
      </c>
      <c r="T539" t="str">
        <f>IFERROR(VLOOKUP(ROWS($T$3:T539),$R$3:$S$718,2,0),"")</f>
        <v>Výroba ostatních čerpadel a kompresorů</v>
      </c>
      <c r="U539">
        <f>IF(ISNUMBER(SEARCH('1Př1'!$A$33,N539)),MAX($M$2:M538)+1,0)</f>
        <v>537</v>
      </c>
      <c r="V539" s="287" t="s">
        <v>1960</v>
      </c>
      <c r="W539" t="str">
        <f>IFERROR(VLOOKUP(ROWS($W$3:W539),$U$3:$V$718,2,0),"")</f>
        <v>Výroba ostatních čerpadel a kompresorů</v>
      </c>
      <c r="X539">
        <f>IF(ISNUMBER(SEARCH('1Př1'!$A$34,N539)),MAX($M$2:M538)+1,0)</f>
        <v>537</v>
      </c>
      <c r="Y539" s="287" t="s">
        <v>1960</v>
      </c>
      <c r="Z539" t="str">
        <f>IFERROR(VLOOKUP(ROWS($Z$3:Z539),$X$3:$Y$718,2,0),"")</f>
        <v>Výroba ostatních čerpadel a kompresorů</v>
      </c>
    </row>
    <row r="540" spans="13:26" ht="25.5">
      <c r="M540" s="286">
        <f>IF(ISNUMBER(SEARCH(ZAKL_DATA!$B$29,N540)),MAX($M$2:M539)+1,0)</f>
        <v>538</v>
      </c>
      <c r="N540" s="791" t="s">
        <v>1962</v>
      </c>
      <c r="O540" s="791" t="s">
        <v>3939</v>
      </c>
      <c r="Q540" s="288" t="str">
        <f>IFERROR(VLOOKUP(ROWS($Q$3:Q540),$M$3:$N$718,2,0),"")</f>
        <v>Výroba ložisek, ozubených kol, převodů a hnacích prvků</v>
      </c>
      <c r="R540">
        <f>IF(ISNUMBER(SEARCH('1Př1'!$A$32,N540)),MAX($M$2:M539)+1,0)</f>
        <v>538</v>
      </c>
      <c r="S540" s="287" t="s">
        <v>1961</v>
      </c>
      <c r="T540" t="str">
        <f>IFERROR(VLOOKUP(ROWS($T$3:T540),$R$3:$S$718,2,0),"")</f>
        <v>Výroba ostatních potrubních armatur</v>
      </c>
      <c r="U540">
        <f>IF(ISNUMBER(SEARCH('1Př1'!$A$33,N540)),MAX($M$2:M539)+1,0)</f>
        <v>538</v>
      </c>
      <c r="V540" s="287" t="s">
        <v>1961</v>
      </c>
      <c r="W540" t="str">
        <f>IFERROR(VLOOKUP(ROWS($W$3:W540),$U$3:$V$718,2,0),"")</f>
        <v>Výroba ostatních potrubních armatur</v>
      </c>
      <c r="X540">
        <f>IF(ISNUMBER(SEARCH('1Př1'!$A$34,N540)),MAX($M$2:M539)+1,0)</f>
        <v>538</v>
      </c>
      <c r="Y540" s="287" t="s">
        <v>1961</v>
      </c>
      <c r="Z540" t="str">
        <f>IFERROR(VLOOKUP(ROWS($Z$3:Z540),$X$3:$Y$718,2,0),"")</f>
        <v>Výroba ostatních potrubních armatur</v>
      </c>
    </row>
    <row r="541" spans="13:26">
      <c r="M541" s="286">
        <f>IF(ISNUMBER(SEARCH(ZAKL_DATA!$B$29,N541)),MAX($M$2:M540)+1,0)</f>
        <v>539</v>
      </c>
      <c r="N541" s="791" t="s">
        <v>1914</v>
      </c>
      <c r="O541" s="791" t="s">
        <v>3940</v>
      </c>
      <c r="Q541" s="288" t="str">
        <f>IFERROR(VLOOKUP(ROWS($Q$3:Q541),$M$3:$N$718,2,0),"")</f>
        <v>Výroba malt</v>
      </c>
      <c r="R541">
        <f>IF(ISNUMBER(SEARCH('1Př1'!$A$32,N541)),MAX($M$2:M540)+1,0)</f>
        <v>539</v>
      </c>
      <c r="S541" s="287" t="s">
        <v>1962</v>
      </c>
      <c r="T541" t="str">
        <f>IFERROR(VLOOKUP(ROWS($T$3:T541),$R$3:$S$718,2,0),"")</f>
        <v>Výroba ložisek, ozubených kol, převodů a hnacích prvků</v>
      </c>
      <c r="U541">
        <f>IF(ISNUMBER(SEARCH('1Př1'!$A$33,N541)),MAX($M$2:M540)+1,0)</f>
        <v>539</v>
      </c>
      <c r="V541" s="287" t="s">
        <v>1962</v>
      </c>
      <c r="W541" t="str">
        <f>IFERROR(VLOOKUP(ROWS($W$3:W541),$U$3:$V$718,2,0),"")</f>
        <v>Výroba ložisek, ozubených kol, převodů a hnacích prvků</v>
      </c>
      <c r="X541">
        <f>IF(ISNUMBER(SEARCH('1Př1'!$A$34,N541)),MAX($M$2:M540)+1,0)</f>
        <v>539</v>
      </c>
      <c r="Y541" s="287" t="s">
        <v>1962</v>
      </c>
      <c r="Z541" t="str">
        <f>IFERROR(VLOOKUP(ROWS($Z$3:Z541),$X$3:$Y$718,2,0),"")</f>
        <v>Výroba ložisek, ozubených kol, převodů a hnacích prvků</v>
      </c>
    </row>
    <row r="542" spans="13:26">
      <c r="M542" s="286">
        <f>IF(ISNUMBER(SEARCH(ZAKL_DATA!$B$29,N542)),MAX($M$2:M541)+1,0)</f>
        <v>540</v>
      </c>
      <c r="N542" s="791" t="s">
        <v>1818</v>
      </c>
      <c r="O542" s="791" t="s">
        <v>3941</v>
      </c>
      <c r="Q542" s="288" t="str">
        <f>IFERROR(VLOOKUP(ROWS($Q$3:Q542),$M$3:$N$718,2,0),"")</f>
        <v>Výroba margarínu a podobných jedlých tuků</v>
      </c>
      <c r="R542">
        <f>IF(ISNUMBER(SEARCH('1Př1'!$A$32,N542)),MAX($M$2:M541)+1,0)</f>
        <v>540</v>
      </c>
      <c r="S542" s="287" t="s">
        <v>1963</v>
      </c>
      <c r="T542" t="str">
        <f>IFERROR(VLOOKUP(ROWS($T$3:T542),$R$3:$S$718,2,0),"")</f>
        <v>Výroba pecí a hořáků pro topeniště</v>
      </c>
      <c r="U542">
        <f>IF(ISNUMBER(SEARCH('1Př1'!$A$33,N542)),MAX($M$2:M541)+1,0)</f>
        <v>540</v>
      </c>
      <c r="V542" s="287" t="s">
        <v>1963</v>
      </c>
      <c r="W542" t="str">
        <f>IFERROR(VLOOKUP(ROWS($W$3:W542),$U$3:$V$718,2,0),"")</f>
        <v>Výroba pecí a hořáků pro topeniště</v>
      </c>
      <c r="X542">
        <f>IF(ISNUMBER(SEARCH('1Př1'!$A$34,N542)),MAX($M$2:M541)+1,0)</f>
        <v>540</v>
      </c>
      <c r="Y542" s="287" t="s">
        <v>1963</v>
      </c>
      <c r="Z542" t="str">
        <f>IFERROR(VLOOKUP(ROWS($Z$3:Z542),$X$3:$Y$718,2,0),"")</f>
        <v>Výroba pecí a hořáků pro topeniště</v>
      </c>
    </row>
    <row r="543" spans="13:26" ht="25.5">
      <c r="M543" s="286">
        <f>IF(ISNUMBER(SEARCH(ZAKL_DATA!$B$29,N543)),MAX($M$2:M542)+1,0)</f>
        <v>541</v>
      </c>
      <c r="N543" s="791" t="s">
        <v>1813</v>
      </c>
      <c r="O543" s="791" t="s">
        <v>3942</v>
      </c>
      <c r="Q543" s="288" t="str">
        <f>IFERROR(VLOOKUP(ROWS($Q$3:Q543),$M$3:$N$718,2,0),"")</f>
        <v>Výroba masných výrobků a výrobků z drůbežího masa</v>
      </c>
      <c r="R543">
        <f>IF(ISNUMBER(SEARCH('1Př1'!$A$32,N543)),MAX($M$2:M542)+1,0)</f>
        <v>541</v>
      </c>
      <c r="S543" s="287" t="s">
        <v>1964</v>
      </c>
      <c r="T543" t="str">
        <f>IFERROR(VLOOKUP(ROWS($T$3:T543),$R$3:$S$718,2,0),"")</f>
        <v>Výroba zdvihacích a manipulačních zařízení</v>
      </c>
      <c r="U543">
        <f>IF(ISNUMBER(SEARCH('1Př1'!$A$33,N543)),MAX($M$2:M542)+1,0)</f>
        <v>541</v>
      </c>
      <c r="V543" s="287" t="s">
        <v>1964</v>
      </c>
      <c r="W543" t="str">
        <f>IFERROR(VLOOKUP(ROWS($W$3:W543),$U$3:$V$718,2,0),"")</f>
        <v>Výroba zdvihacích a manipulačních zařízení</v>
      </c>
      <c r="X543">
        <f>IF(ISNUMBER(SEARCH('1Př1'!$A$34,N543)),MAX($M$2:M542)+1,0)</f>
        <v>541</v>
      </c>
      <c r="Y543" s="287" t="s">
        <v>1964</v>
      </c>
      <c r="Z543" t="str">
        <f>IFERROR(VLOOKUP(ROWS($Z$3:Z543),$X$3:$Y$718,2,0),"")</f>
        <v>Výroba zdvihacích a manipulačních zařízení</v>
      </c>
    </row>
    <row r="544" spans="13:26">
      <c r="M544" s="286">
        <f>IF(ISNUMBER(SEARCH(ZAKL_DATA!$B$29,N544)),MAX($M$2:M543)+1,0)</f>
        <v>542</v>
      </c>
      <c r="N544" s="791" t="s">
        <v>2193</v>
      </c>
      <c r="O544" s="791" t="s">
        <v>3943</v>
      </c>
      <c r="Q544" s="288" t="str">
        <f>IFERROR(VLOOKUP(ROWS($Q$3:Q544),$M$3:$N$718,2,0),"")</f>
        <v>Výroba mechanických vláknin</v>
      </c>
      <c r="R544">
        <f>IF(ISNUMBER(SEARCH('1Př1'!$A$32,N544)),MAX($M$2:M543)+1,0)</f>
        <v>542</v>
      </c>
      <c r="S544" s="287" t="s">
        <v>1965</v>
      </c>
      <c r="T544" t="str">
        <f>IFERROR(VLOOKUP(ROWS($T$3:T544),$R$3:$S$718,2,0),"")</f>
        <v>Výroba kancelářských strojů a zařízení,kromě počítačů a perif.zařízení</v>
      </c>
      <c r="U544">
        <f>IF(ISNUMBER(SEARCH('1Př1'!$A$33,N544)),MAX($M$2:M543)+1,0)</f>
        <v>542</v>
      </c>
      <c r="V544" s="287" t="s">
        <v>1965</v>
      </c>
      <c r="W544" t="str">
        <f>IFERROR(VLOOKUP(ROWS($W$3:W544),$U$3:$V$718,2,0),"")</f>
        <v>Výroba kancelářských strojů a zařízení,kromě počítačů a perif.zařízení</v>
      </c>
      <c r="X544">
        <f>IF(ISNUMBER(SEARCH('1Př1'!$A$34,N544)),MAX($M$2:M543)+1,0)</f>
        <v>542</v>
      </c>
      <c r="Y544" s="287" t="s">
        <v>1965</v>
      </c>
      <c r="Z544" t="str">
        <f>IFERROR(VLOOKUP(ROWS($Z$3:Z544),$X$3:$Y$718,2,0),"")</f>
        <v>Výroba kancelářských strojů a zařízení,kromě počítačů a perif.zařízení</v>
      </c>
    </row>
    <row r="545" spans="13:26" ht="25.5">
      <c r="M545" s="286">
        <f>IF(ISNUMBER(SEARCH(ZAKL_DATA!$B$29,N545)),MAX($M$2:M544)+1,0)</f>
        <v>543</v>
      </c>
      <c r="N545" s="791" t="s">
        <v>1949</v>
      </c>
      <c r="O545" s="791" t="s">
        <v>3944</v>
      </c>
      <c r="Q545" s="288" t="str">
        <f>IFERROR(VLOOKUP(ROWS($Q$3:Q545),$M$3:$N$718,2,0),"")</f>
        <v>Výroba měřicích, zkušebních a navigačních přístrojů</v>
      </c>
      <c r="R545">
        <f>IF(ISNUMBER(SEARCH('1Př1'!$A$32,N545)),MAX($M$2:M544)+1,0)</f>
        <v>543</v>
      </c>
      <c r="S545" s="287" t="s">
        <v>1966</v>
      </c>
      <c r="T545" t="str">
        <f>IFERROR(VLOOKUP(ROWS($T$3:T545),$R$3:$S$718,2,0),"")</f>
        <v>Výroba ručních mechanizovaných nástrojů</v>
      </c>
      <c r="U545">
        <f>IF(ISNUMBER(SEARCH('1Př1'!$A$33,N545)),MAX($M$2:M544)+1,0)</f>
        <v>543</v>
      </c>
      <c r="V545" s="287" t="s">
        <v>1966</v>
      </c>
      <c r="W545" t="str">
        <f>IFERROR(VLOOKUP(ROWS($W$3:W545),$U$3:$V$718,2,0),"")</f>
        <v>Výroba ručních mechanizovaných nástrojů</v>
      </c>
      <c r="X545">
        <f>IF(ISNUMBER(SEARCH('1Př1'!$A$34,N545)),MAX($M$2:M544)+1,0)</f>
        <v>543</v>
      </c>
      <c r="Y545" s="287" t="s">
        <v>1966</v>
      </c>
      <c r="Z545" t="str">
        <f>IFERROR(VLOOKUP(ROWS($Z$3:Z545),$X$3:$Y$718,2,0),"")</f>
        <v>Výroba ručních mechanizovaných nástrojů</v>
      </c>
    </row>
    <row r="546" spans="13:26">
      <c r="M546" s="286">
        <f>IF(ISNUMBER(SEARCH(ZAKL_DATA!$B$29,N546)),MAX($M$2:M545)+1,0)</f>
        <v>544</v>
      </c>
      <c r="N546" s="791" t="s">
        <v>1185</v>
      </c>
      <c r="O546" s="791" t="s">
        <v>3945</v>
      </c>
      <c r="Q546" s="288" t="str">
        <f>IFERROR(VLOOKUP(ROWS($Q$3:Q546),$M$3:$N$718,2,0),"")</f>
        <v>Výroba mléčných výrobků</v>
      </c>
      <c r="R546">
        <f>IF(ISNUMBER(SEARCH('1Př1'!$A$32,N546)),MAX($M$2:M545)+1,0)</f>
        <v>544</v>
      </c>
      <c r="S546" s="287" t="s">
        <v>1967</v>
      </c>
      <c r="T546" t="str">
        <f>IFERROR(VLOOKUP(ROWS($T$3:T546),$R$3:$S$718,2,0),"")</f>
        <v>Výroba průmyslových chladicích a klimatizačních zařízení</v>
      </c>
      <c r="U546">
        <f>IF(ISNUMBER(SEARCH('1Př1'!$A$33,N546)),MAX($M$2:M545)+1,0)</f>
        <v>544</v>
      </c>
      <c r="V546" s="287" t="s">
        <v>1967</v>
      </c>
      <c r="W546" t="str">
        <f>IFERROR(VLOOKUP(ROWS($W$3:W546),$U$3:$V$718,2,0),"")</f>
        <v>Výroba průmyslových chladicích a klimatizačních zařízení</v>
      </c>
      <c r="X546">
        <f>IF(ISNUMBER(SEARCH('1Př1'!$A$34,N546)),MAX($M$2:M545)+1,0)</f>
        <v>544</v>
      </c>
      <c r="Y546" s="287" t="s">
        <v>1967</v>
      </c>
      <c r="Z546" t="str">
        <f>IFERROR(VLOOKUP(ROWS($Z$3:Z546),$X$3:$Y$718,2,0),"")</f>
        <v>Výroba průmyslových chladicích a klimatizačních zařízení</v>
      </c>
    </row>
    <row r="547" spans="13:26">
      <c r="M547" s="286">
        <f>IF(ISNUMBER(SEARCH(ZAKL_DATA!$B$29,N547)),MAX($M$2:M546)+1,0)</f>
        <v>545</v>
      </c>
      <c r="N547" s="791" t="s">
        <v>1821</v>
      </c>
      <c r="O547" s="791" t="s">
        <v>3946</v>
      </c>
      <c r="Q547" s="288" t="str">
        <f>IFERROR(VLOOKUP(ROWS($Q$3:Q547),$M$3:$N$718,2,0),"")</f>
        <v>Výroba mlýnských výrobků</v>
      </c>
      <c r="R547">
        <f>IF(ISNUMBER(SEARCH('1Př1'!$A$32,N547)),MAX($M$2:M546)+1,0)</f>
        <v>545</v>
      </c>
      <c r="S547" s="287" t="s">
        <v>1968</v>
      </c>
      <c r="T547" t="str">
        <f>IFERROR(VLOOKUP(ROWS($T$3:T547),$R$3:$S$718,2,0),"")</f>
        <v>Výroba ostatních strojů a zařízení pro všeobecné účely j. n.</v>
      </c>
      <c r="U547">
        <f>IF(ISNUMBER(SEARCH('1Př1'!$A$33,N547)),MAX($M$2:M546)+1,0)</f>
        <v>545</v>
      </c>
      <c r="V547" s="287" t="s">
        <v>1968</v>
      </c>
      <c r="W547" t="str">
        <f>IFERROR(VLOOKUP(ROWS($W$3:W547),$U$3:$V$718,2,0),"")</f>
        <v>Výroba ostatních strojů a zařízení pro všeobecné účely j. n.</v>
      </c>
      <c r="X547">
        <f>IF(ISNUMBER(SEARCH('1Př1'!$A$34,N547)),MAX($M$2:M546)+1,0)</f>
        <v>545</v>
      </c>
      <c r="Y547" s="287" t="s">
        <v>1968</v>
      </c>
      <c r="Z547" t="str">
        <f>IFERROR(VLOOKUP(ROWS($Z$3:Z547),$X$3:$Y$718,2,0),"")</f>
        <v>Výroba ostatních strojů a zařízení pro všeobecné účely j. n.</v>
      </c>
    </row>
    <row r="548" spans="13:26">
      <c r="M548" s="286">
        <f>IF(ISNUMBER(SEARCH(ZAKL_DATA!$B$29,N548)),MAX($M$2:M547)+1,0)</f>
        <v>546</v>
      </c>
      <c r="N548" s="791" t="s">
        <v>1982</v>
      </c>
      <c r="O548" s="791" t="s">
        <v>3947</v>
      </c>
      <c r="Q548" s="288" t="str">
        <f>IFERROR(VLOOKUP(ROWS($Q$3:Q548),$M$3:$N$718,2,0),"")</f>
        <v>Výroba motocyklů</v>
      </c>
      <c r="R548">
        <f>IF(ISNUMBER(SEARCH('1Př1'!$A$32,N548)),MAX($M$2:M547)+1,0)</f>
        <v>546</v>
      </c>
      <c r="S548" s="287" t="s">
        <v>1969</v>
      </c>
      <c r="T548" t="str">
        <f>IFERROR(VLOOKUP(ROWS($T$3:T548),$R$3:$S$718,2,0),"")</f>
        <v>Výroba kovoobráběcích strojů</v>
      </c>
      <c r="U548">
        <f>IF(ISNUMBER(SEARCH('1Př1'!$A$33,N548)),MAX($M$2:M547)+1,0)</f>
        <v>546</v>
      </c>
      <c r="V548" s="287" t="s">
        <v>1969</v>
      </c>
      <c r="W548" t="str">
        <f>IFERROR(VLOOKUP(ROWS($W$3:W548),$U$3:$V$718,2,0),"")</f>
        <v>Výroba kovoobráběcích strojů</v>
      </c>
      <c r="X548">
        <f>IF(ISNUMBER(SEARCH('1Př1'!$A$34,N548)),MAX($M$2:M547)+1,0)</f>
        <v>546</v>
      </c>
      <c r="Y548" s="287" t="s">
        <v>1969</v>
      </c>
      <c r="Z548" t="str">
        <f>IFERROR(VLOOKUP(ROWS($Z$3:Z548),$X$3:$Y$718,2,0),"")</f>
        <v>Výroba kovoobráběcích strojů</v>
      </c>
    </row>
    <row r="549" spans="13:26">
      <c r="M549" s="286">
        <f>IF(ISNUMBER(SEARCH(ZAKL_DATA!$B$29,N549)),MAX($M$2:M548)+1,0)</f>
        <v>547</v>
      </c>
      <c r="N549" s="791" t="s">
        <v>3948</v>
      </c>
      <c r="O549" s="791" t="s">
        <v>3949</v>
      </c>
      <c r="Q549" s="288" t="str">
        <f>IFERROR(VLOOKUP(ROWS($Q$3:Q549),$M$3:$N$718,2,0),"")</f>
        <v>Výroba motorových vozidel</v>
      </c>
      <c r="R549">
        <f>IF(ISNUMBER(SEARCH('1Př1'!$A$32,N549)),MAX($M$2:M548)+1,0)</f>
        <v>547</v>
      </c>
      <c r="S549" s="287" t="s">
        <v>1970</v>
      </c>
      <c r="T549" t="str">
        <f>IFERROR(VLOOKUP(ROWS($T$3:T549),$R$3:$S$718,2,0),"")</f>
        <v>Výroba ostatních obráběcích strojů</v>
      </c>
      <c r="U549">
        <f>IF(ISNUMBER(SEARCH('1Př1'!$A$33,N549)),MAX($M$2:M548)+1,0)</f>
        <v>547</v>
      </c>
      <c r="V549" s="287" t="s">
        <v>1970</v>
      </c>
      <c r="W549" t="str">
        <f>IFERROR(VLOOKUP(ROWS($W$3:W549),$U$3:$V$718,2,0),"")</f>
        <v>Výroba ostatních obráběcích strojů</v>
      </c>
      <c r="X549">
        <f>IF(ISNUMBER(SEARCH('1Př1'!$A$34,N549)),MAX($M$2:M548)+1,0)</f>
        <v>547</v>
      </c>
      <c r="Y549" s="287" t="s">
        <v>1970</v>
      </c>
      <c r="Z549" t="str">
        <f>IFERROR(VLOOKUP(ROWS($Z$3:Z549),$X$3:$Y$718,2,0),"")</f>
        <v>Výroba ostatních obráběcích strojů</v>
      </c>
    </row>
    <row r="550" spans="13:26" ht="25.5">
      <c r="M550" s="286">
        <f>IF(ISNUMBER(SEARCH(ZAKL_DATA!$B$29,N550)),MAX($M$2:M549)+1,0)</f>
        <v>548</v>
      </c>
      <c r="N550" s="791" t="s">
        <v>1958</v>
      </c>
      <c r="O550" s="791" t="s">
        <v>3950</v>
      </c>
      <c r="Q550" s="288" t="str">
        <f>IFERROR(VLOOKUP(ROWS($Q$3:Q550),$M$3:$N$718,2,0),"")</f>
        <v>Výroba motorů a turbín, kromě motorů pro letadla, automobily a motocykly</v>
      </c>
      <c r="R550">
        <f>IF(ISNUMBER(SEARCH('1Př1'!$A$32,N550)),MAX($M$2:M549)+1,0)</f>
        <v>548</v>
      </c>
      <c r="S550" s="287" t="s">
        <v>1971</v>
      </c>
      <c r="T550" t="str">
        <f>IFERROR(VLOOKUP(ROWS($T$3:T550),$R$3:$S$718,2,0),"")</f>
        <v>Výroba strojů pro metalurgii</v>
      </c>
      <c r="U550">
        <f>IF(ISNUMBER(SEARCH('1Př1'!$A$33,N550)),MAX($M$2:M549)+1,0)</f>
        <v>548</v>
      </c>
      <c r="V550" s="287" t="s">
        <v>1971</v>
      </c>
      <c r="W550" t="str">
        <f>IFERROR(VLOOKUP(ROWS($W$3:W550),$U$3:$V$718,2,0),"")</f>
        <v>Výroba strojů pro metalurgii</v>
      </c>
      <c r="X550">
        <f>IF(ISNUMBER(SEARCH('1Př1'!$A$34,N550)),MAX($M$2:M549)+1,0)</f>
        <v>548</v>
      </c>
      <c r="Y550" s="287" t="s">
        <v>1971</v>
      </c>
      <c r="Z550" t="str">
        <f>IFERROR(VLOOKUP(ROWS($Z$3:Z550),$X$3:$Y$718,2,0),"")</f>
        <v>Výroba strojů pro metalurgii</v>
      </c>
    </row>
    <row r="551" spans="13:26">
      <c r="M551" s="286">
        <f>IF(ISNUMBER(SEARCH(ZAKL_DATA!$B$29,N551)),MAX($M$2:M550)+1,0)</f>
        <v>549</v>
      </c>
      <c r="N551" s="791" t="s">
        <v>3951</v>
      </c>
      <c r="O551" s="791" t="s">
        <v>3952</v>
      </c>
      <c r="Q551" s="288" t="str">
        <f>IFERROR(VLOOKUP(ROWS($Q$3:Q551),$M$3:$N$718,2,0),"")</f>
        <v>Výroba moučných výrobků</v>
      </c>
      <c r="R551">
        <f>IF(ISNUMBER(SEARCH('1Př1'!$A$32,N551)),MAX($M$2:M550)+1,0)</f>
        <v>549</v>
      </c>
      <c r="S551" s="287" t="s">
        <v>1972</v>
      </c>
      <c r="T551" t="str">
        <f>IFERROR(VLOOKUP(ROWS($T$3:T551),$R$3:$S$718,2,0),"")</f>
        <v>Výroba strojů pro těžbu, dobývání a stavebnictví</v>
      </c>
      <c r="U551">
        <f>IF(ISNUMBER(SEARCH('1Př1'!$A$33,N551)),MAX($M$2:M550)+1,0)</f>
        <v>549</v>
      </c>
      <c r="V551" s="287" t="s">
        <v>1972</v>
      </c>
      <c r="W551" t="str">
        <f>IFERROR(VLOOKUP(ROWS($W$3:W551),$U$3:$V$718,2,0),"")</f>
        <v>Výroba strojů pro těžbu, dobývání a stavebnictví</v>
      </c>
      <c r="X551">
        <f>IF(ISNUMBER(SEARCH('1Př1'!$A$34,N551)),MAX($M$2:M550)+1,0)</f>
        <v>549</v>
      </c>
      <c r="Y551" s="287" t="s">
        <v>1972</v>
      </c>
      <c r="Z551" t="str">
        <f>IFERROR(VLOOKUP(ROWS($Z$3:Z551),$X$3:$Y$718,2,0),"")</f>
        <v>Výroba strojů pro těžbu, dobývání a stavebnictví</v>
      </c>
    </row>
    <row r="552" spans="13:26" ht="25.5">
      <c r="M552" s="286">
        <f>IF(ISNUMBER(SEARCH(ZAKL_DATA!$B$29,N552)),MAX($M$2:M551)+1,0)</f>
        <v>550</v>
      </c>
      <c r="N552" s="791" t="s">
        <v>3953</v>
      </c>
      <c r="O552" s="791" t="s">
        <v>3954</v>
      </c>
      <c r="Q552" s="288" t="str">
        <f>IFERROR(VLOOKUP(ROWS($Q$3:Q552),$M$3:$N$718,2,0),"")</f>
        <v>Výroba mýdel, detergentů a čisticích a lešticích prostředků</v>
      </c>
      <c r="R552">
        <f>IF(ISNUMBER(SEARCH('1Př1'!$A$32,N552)),MAX($M$2:M551)+1,0)</f>
        <v>550</v>
      </c>
      <c r="S552" s="287" t="s">
        <v>1973</v>
      </c>
      <c r="T552" t="str">
        <f>IFERROR(VLOOKUP(ROWS($T$3:T552),$R$3:$S$718,2,0),"")</f>
        <v>Výroba strojů na výrobu potravin, nápojů a zpracování tabáku</v>
      </c>
      <c r="U552">
        <f>IF(ISNUMBER(SEARCH('1Př1'!$A$33,N552)),MAX($M$2:M551)+1,0)</f>
        <v>550</v>
      </c>
      <c r="V552" s="287" t="s">
        <v>1973</v>
      </c>
      <c r="W552" t="str">
        <f>IFERROR(VLOOKUP(ROWS($W$3:W552),$U$3:$V$718,2,0),"")</f>
        <v>Výroba strojů na výrobu potravin, nápojů a zpracování tabáku</v>
      </c>
      <c r="X552">
        <f>IF(ISNUMBER(SEARCH('1Př1'!$A$34,N552)),MAX($M$2:M551)+1,0)</f>
        <v>550</v>
      </c>
      <c r="Y552" s="287" t="s">
        <v>1973</v>
      </c>
      <c r="Z552" t="str">
        <f>IFERROR(VLOOKUP(ROWS($Z$3:Z552),$X$3:$Y$718,2,0),"")</f>
        <v>Výroba strojů na výrobu potravin, nápojů a zpracování tabáku</v>
      </c>
    </row>
    <row r="553" spans="13:26">
      <c r="M553" s="286">
        <f>IF(ISNUMBER(SEARCH(ZAKL_DATA!$B$29,N553)),MAX($M$2:M552)+1,0)</f>
        <v>551</v>
      </c>
      <c r="N553" s="791" t="s">
        <v>887</v>
      </c>
      <c r="O553" s="791" t="s">
        <v>3955</v>
      </c>
      <c r="Q553" s="288" t="str">
        <f>IFERROR(VLOOKUP(ROWS($Q$3:Q553),$M$3:$N$718,2,0),"")</f>
        <v>Výroba nábytku</v>
      </c>
      <c r="R553">
        <f>IF(ISNUMBER(SEARCH('1Př1'!$A$32,N553)),MAX($M$2:M552)+1,0)</f>
        <v>551</v>
      </c>
      <c r="S553" s="287" t="s">
        <v>1974</v>
      </c>
      <c r="T553" t="str">
        <f>IFERROR(VLOOKUP(ROWS($T$3:T553),$R$3:$S$718,2,0),"")</f>
        <v>Výroba strojů na výrobu textilu, oděvních výrobků a výrobků z usní</v>
      </c>
      <c r="U553">
        <f>IF(ISNUMBER(SEARCH('1Př1'!$A$33,N553)),MAX($M$2:M552)+1,0)</f>
        <v>551</v>
      </c>
      <c r="V553" s="287" t="s">
        <v>1974</v>
      </c>
      <c r="W553" t="str">
        <f>IFERROR(VLOOKUP(ROWS($W$3:W553),$U$3:$V$718,2,0),"")</f>
        <v>Výroba strojů na výrobu textilu, oděvních výrobků a výrobků z usní</v>
      </c>
      <c r="X553">
        <f>IF(ISNUMBER(SEARCH('1Př1'!$A$34,N553)),MAX($M$2:M552)+1,0)</f>
        <v>551</v>
      </c>
      <c r="Y553" s="287" t="s">
        <v>1974</v>
      </c>
      <c r="Z553" t="str">
        <f>IFERROR(VLOOKUP(ROWS($Z$3:Z553),$X$3:$Y$718,2,0),"")</f>
        <v>Výroba strojů na výrobu textilu, oděvních výrobků a výrobků z usní</v>
      </c>
    </row>
    <row r="554" spans="13:26">
      <c r="M554" s="286">
        <f>IF(ISNUMBER(SEARCH(ZAKL_DATA!$B$29,N554)),MAX($M$2:M553)+1,0)</f>
        <v>552</v>
      </c>
      <c r="N554" s="791" t="s">
        <v>1941</v>
      </c>
      <c r="O554" s="791" t="s">
        <v>3956</v>
      </c>
      <c r="Q554" s="288" t="str">
        <f>IFERROR(VLOOKUP(ROWS($Q$3:Q554),$M$3:$N$718,2,0),"")</f>
        <v>Výroba nástrojů a nářadí</v>
      </c>
      <c r="R554">
        <f>IF(ISNUMBER(SEARCH('1Př1'!$A$32,N554)),MAX($M$2:M553)+1,0)</f>
        <v>552</v>
      </c>
      <c r="S554" s="287" t="s">
        <v>1975</v>
      </c>
      <c r="T554" t="str">
        <f>IFERROR(VLOOKUP(ROWS($T$3:T554),$R$3:$S$718,2,0),"")</f>
        <v>Výroba strojů a přístrojů na výrobu papíru a lepenky</v>
      </c>
      <c r="U554">
        <f>IF(ISNUMBER(SEARCH('1Př1'!$A$33,N554)),MAX($M$2:M553)+1,0)</f>
        <v>552</v>
      </c>
      <c r="V554" s="287" t="s">
        <v>1975</v>
      </c>
      <c r="W554" t="str">
        <f>IFERROR(VLOOKUP(ROWS($W$3:W554),$U$3:$V$718,2,0),"")</f>
        <v>Výroba strojů a přístrojů na výrobu papíru a lepenky</v>
      </c>
      <c r="X554">
        <f>IF(ISNUMBER(SEARCH('1Př1'!$A$34,N554)),MAX($M$2:M553)+1,0)</f>
        <v>552</v>
      </c>
      <c r="Y554" s="287" t="s">
        <v>1975</v>
      </c>
      <c r="Z554" t="str">
        <f>IFERROR(VLOOKUP(ROWS($Z$3:Z554),$X$3:$Y$718,2,0),"")</f>
        <v>Výroba strojů a přístrojů na výrobu papíru a lepenky</v>
      </c>
    </row>
    <row r="555" spans="13:26">
      <c r="M555" s="286">
        <f>IF(ISNUMBER(SEARCH(ZAKL_DATA!$B$29,N555)),MAX($M$2:M554)+1,0)</f>
        <v>553</v>
      </c>
      <c r="N555" s="791" t="s">
        <v>3957</v>
      </c>
      <c r="O555" s="791" t="s">
        <v>3958</v>
      </c>
      <c r="Q555" s="288" t="str">
        <f>IFERROR(VLOOKUP(ROWS($Q$3:Q555),$M$3:$N$718,2,0),"")</f>
        <v>Výroba nealkoholických nápojů a balených vod</v>
      </c>
      <c r="R555">
        <f>IF(ISNUMBER(SEARCH('1Př1'!$A$32,N555)),MAX($M$2:M554)+1,0)</f>
        <v>553</v>
      </c>
      <c r="S555" s="287" t="s">
        <v>1976</v>
      </c>
      <c r="T555" t="str">
        <f>IFERROR(VLOOKUP(ROWS($T$3:T555),$R$3:$S$718,2,0),"")</f>
        <v>Výroba strojů na výrobu plastů a pryže</v>
      </c>
      <c r="U555">
        <f>IF(ISNUMBER(SEARCH('1Př1'!$A$33,N555)),MAX($M$2:M554)+1,0)</f>
        <v>553</v>
      </c>
      <c r="V555" s="287" t="s">
        <v>1976</v>
      </c>
      <c r="W555" t="str">
        <f>IFERROR(VLOOKUP(ROWS($W$3:W555),$U$3:$V$718,2,0),"")</f>
        <v>Výroba strojů na výrobu plastů a pryže</v>
      </c>
      <c r="X555">
        <f>IF(ISNUMBER(SEARCH('1Př1'!$A$34,N555)),MAX($M$2:M554)+1,0)</f>
        <v>553</v>
      </c>
      <c r="Y555" s="287" t="s">
        <v>1976</v>
      </c>
      <c r="Z555" t="str">
        <f>IFERROR(VLOOKUP(ROWS($Z$3:Z555),$X$3:$Y$718,2,0),"")</f>
        <v>Výroba strojů na výrobu plastů a pryže</v>
      </c>
    </row>
    <row r="556" spans="13:26" ht="25.5">
      <c r="M556" s="286">
        <f>IF(ISNUMBER(SEARCH(ZAKL_DATA!$B$29,N556)),MAX($M$2:M555)+1,0)</f>
        <v>554</v>
      </c>
      <c r="N556" s="791" t="s">
        <v>1957</v>
      </c>
      <c r="O556" s="791" t="s">
        <v>3959</v>
      </c>
      <c r="Q556" s="288" t="str">
        <f>IFERROR(VLOOKUP(ROWS($Q$3:Q556),$M$3:$N$718,2,0),"")</f>
        <v>Výroba neelektrických spotřebičů převážně pro domácnost</v>
      </c>
      <c r="R556">
        <f>IF(ISNUMBER(SEARCH('1Př1'!$A$32,N556)),MAX($M$2:M555)+1,0)</f>
        <v>554</v>
      </c>
      <c r="S556" s="287" t="s">
        <v>1977</v>
      </c>
      <c r="T556" t="str">
        <f>IFERROR(VLOOKUP(ROWS($T$3:T556),$R$3:$S$718,2,0),"")</f>
        <v>Výroba ostatních strojů pro speciální účely j. n.</v>
      </c>
      <c r="U556">
        <f>IF(ISNUMBER(SEARCH('1Př1'!$A$33,N556)),MAX($M$2:M555)+1,0)</f>
        <v>554</v>
      </c>
      <c r="V556" s="287" t="s">
        <v>1977</v>
      </c>
      <c r="W556" t="str">
        <f>IFERROR(VLOOKUP(ROWS($W$3:W556),$U$3:$V$718,2,0),"")</f>
        <v>Výroba ostatních strojů pro speciální účely j. n.</v>
      </c>
      <c r="X556">
        <f>IF(ISNUMBER(SEARCH('1Př1'!$A$34,N556)),MAX($M$2:M555)+1,0)</f>
        <v>554</v>
      </c>
      <c r="Y556" s="287" t="s">
        <v>1977</v>
      </c>
      <c r="Z556" t="str">
        <f>IFERROR(VLOOKUP(ROWS($Z$3:Z556),$X$3:$Y$718,2,0),"")</f>
        <v>Výroba ostatních strojů pro speciální účely j. n.</v>
      </c>
    </row>
    <row r="557" spans="13:26">
      <c r="M557" s="286">
        <f>IF(ISNUMBER(SEARCH(ZAKL_DATA!$B$29,N557)),MAX($M$2:M556)+1,0)</f>
        <v>555</v>
      </c>
      <c r="N557" s="791" t="s">
        <v>3960</v>
      </c>
      <c r="O557" s="791" t="s">
        <v>3961</v>
      </c>
      <c r="Q557" s="288" t="str">
        <f>IFERROR(VLOOKUP(ROWS($Q$3:Q557),$M$3:$N$718,2,0),"")</f>
        <v>Výroba netkaných textilií a výrobků z nich</v>
      </c>
      <c r="R557">
        <f>IF(ISNUMBER(SEARCH('1Př1'!$A$32,N557)),MAX($M$2:M556)+1,0)</f>
        <v>555</v>
      </c>
      <c r="S557" s="287" t="s">
        <v>1978</v>
      </c>
      <c r="T557" t="str">
        <f>IFERROR(VLOOKUP(ROWS($T$3:T557),$R$3:$S$718,2,0),"")</f>
        <v>Výroba elektrického a elektronického zařízení pro motorová vozidla</v>
      </c>
      <c r="U557">
        <f>IF(ISNUMBER(SEARCH('1Př1'!$A$33,N557)),MAX($M$2:M556)+1,0)</f>
        <v>555</v>
      </c>
      <c r="V557" s="287" t="s">
        <v>1978</v>
      </c>
      <c r="W557" t="str">
        <f>IFERROR(VLOOKUP(ROWS($W$3:W557),$U$3:$V$718,2,0),"")</f>
        <v>Výroba elektrického a elektronického zařízení pro motorová vozidla</v>
      </c>
      <c r="X557">
        <f>IF(ISNUMBER(SEARCH('1Př1'!$A$34,N557)),MAX($M$2:M556)+1,0)</f>
        <v>555</v>
      </c>
      <c r="Y557" s="287" t="s">
        <v>1978</v>
      </c>
      <c r="Z557" t="str">
        <f>IFERROR(VLOOKUP(ROWS($Z$3:Z557),$X$3:$Y$718,2,0),"")</f>
        <v>Výroba elektrického a elektronického zařízení pro motorová vozidla</v>
      </c>
    </row>
    <row r="558" spans="13:26">
      <c r="M558" s="286">
        <f>IF(ISNUMBER(SEARCH(ZAKL_DATA!$B$29,N558)),MAX($M$2:M557)+1,0)</f>
        <v>556</v>
      </c>
      <c r="N558" s="791" t="s">
        <v>1939</v>
      </c>
      <c r="O558" s="791" t="s">
        <v>3962</v>
      </c>
      <c r="Q558" s="288" t="str">
        <f>IFERROR(VLOOKUP(ROWS($Q$3:Q558),$M$3:$N$718,2,0),"")</f>
        <v>Výroba nožířských výrobků</v>
      </c>
      <c r="R558">
        <f>IF(ISNUMBER(SEARCH('1Př1'!$A$32,N558)),MAX($M$2:M557)+1,0)</f>
        <v>556</v>
      </c>
      <c r="S558" s="287" t="s">
        <v>1979</v>
      </c>
      <c r="T558" t="str">
        <f>IFERROR(VLOOKUP(ROWS($T$3:T558),$R$3:$S$718,2,0),"")</f>
        <v>Výroba ostatních dílů a příslušenství pro motorová vozidla</v>
      </c>
      <c r="U558">
        <f>IF(ISNUMBER(SEARCH('1Př1'!$A$33,N558)),MAX($M$2:M557)+1,0)</f>
        <v>556</v>
      </c>
      <c r="V558" s="287" t="s">
        <v>1979</v>
      </c>
      <c r="W558" t="str">
        <f>IFERROR(VLOOKUP(ROWS($W$3:W558),$U$3:$V$718,2,0),"")</f>
        <v>Výroba ostatních dílů a příslušenství pro motorová vozidla</v>
      </c>
      <c r="X558">
        <f>IF(ISNUMBER(SEARCH('1Př1'!$A$34,N558)),MAX($M$2:M557)+1,0)</f>
        <v>556</v>
      </c>
      <c r="Y558" s="287" t="s">
        <v>1979</v>
      </c>
      <c r="Z558" t="str">
        <f>IFERROR(VLOOKUP(ROWS($Z$3:Z558),$X$3:$Y$718,2,0),"")</f>
        <v>Výroba ostatních dílů a příslušenství pro motorová vozidla</v>
      </c>
    </row>
    <row r="559" spans="13:26">
      <c r="M559" s="286">
        <f>IF(ISNUMBER(SEARCH(ZAKL_DATA!$B$29,N559)),MAX($M$2:M558)+1,0)</f>
        <v>557</v>
      </c>
      <c r="N559" s="791" t="s">
        <v>3963</v>
      </c>
      <c r="O559" s="791" t="s">
        <v>3964</v>
      </c>
      <c r="Q559" s="288" t="str">
        <f>IFERROR(VLOOKUP(ROWS($Q$3:Q559),$M$3:$N$718,2,0),"")</f>
        <v>Výroba obalů z lehkých kovů</v>
      </c>
      <c r="R559">
        <f>IF(ISNUMBER(SEARCH('1Př1'!$A$32,N559)),MAX($M$2:M558)+1,0)</f>
        <v>557</v>
      </c>
      <c r="S559" s="287" t="s">
        <v>1980</v>
      </c>
      <c r="T559" t="str">
        <f>IFERROR(VLOOKUP(ROWS($T$3:T559),$R$3:$S$718,2,0),"")</f>
        <v>Stavba lodí a plavidel</v>
      </c>
      <c r="U559">
        <f>IF(ISNUMBER(SEARCH('1Př1'!$A$33,N559)),MAX($M$2:M558)+1,0)</f>
        <v>557</v>
      </c>
      <c r="V559" s="287" t="s">
        <v>1980</v>
      </c>
      <c r="W559" t="str">
        <f>IFERROR(VLOOKUP(ROWS($W$3:W559),$U$3:$V$718,2,0),"")</f>
        <v>Stavba lodí a plavidel</v>
      </c>
      <c r="X559">
        <f>IF(ISNUMBER(SEARCH('1Př1'!$A$34,N559)),MAX($M$2:M558)+1,0)</f>
        <v>557</v>
      </c>
      <c r="Y559" s="287" t="s">
        <v>1980</v>
      </c>
      <c r="Z559" t="str">
        <f>IFERROR(VLOOKUP(ROWS($Z$3:Z559),$X$3:$Y$718,2,0),"")</f>
        <v>Stavba lodí a plavidel</v>
      </c>
    </row>
    <row r="560" spans="13:26">
      <c r="M560" s="286">
        <f>IF(ISNUMBER(SEARCH(ZAKL_DATA!$B$29,N560)),MAX($M$2:M559)+1,0)</f>
        <v>558</v>
      </c>
      <c r="N560" s="791" t="s">
        <v>2191</v>
      </c>
      <c r="O560" s="791" t="s">
        <v>3965</v>
      </c>
      <c r="Q560" s="288" t="str">
        <f>IFERROR(VLOOKUP(ROWS($Q$3:Q560),$M$3:$N$718,2,0),"")</f>
        <v>Výroba obuvi s usňovým svrškem</v>
      </c>
      <c r="R560">
        <f>IF(ISNUMBER(SEARCH('1Př1'!$A$32,N560)),MAX($M$2:M559)+1,0)</f>
        <v>558</v>
      </c>
      <c r="S560" s="287" t="s">
        <v>1981</v>
      </c>
      <c r="T560" t="str">
        <f>IFERROR(VLOOKUP(ROWS($T$3:T560),$R$3:$S$718,2,0),"")</f>
        <v>Stavba rekreačních a sportovních člunů</v>
      </c>
      <c r="U560">
        <f>IF(ISNUMBER(SEARCH('1Př1'!$A$33,N560)),MAX($M$2:M559)+1,0)</f>
        <v>558</v>
      </c>
      <c r="V560" s="287" t="s">
        <v>1981</v>
      </c>
      <c r="W560" t="str">
        <f>IFERROR(VLOOKUP(ROWS($W$3:W560),$U$3:$V$718,2,0),"")</f>
        <v>Stavba rekreačních a sportovních člunů</v>
      </c>
      <c r="X560">
        <f>IF(ISNUMBER(SEARCH('1Př1'!$A$34,N560)),MAX($M$2:M559)+1,0)</f>
        <v>558</v>
      </c>
      <c r="Y560" s="287" t="s">
        <v>1981</v>
      </c>
      <c r="Z560" t="str">
        <f>IFERROR(VLOOKUP(ROWS($Z$3:Z560),$X$3:$Y$718,2,0),"")</f>
        <v>Stavba rekreačních a sportovních člunů</v>
      </c>
    </row>
    <row r="561" spans="13:26">
      <c r="M561" s="286">
        <f>IF(ISNUMBER(SEARCH(ZAKL_DATA!$B$29,N561)),MAX($M$2:M560)+1,0)</f>
        <v>559</v>
      </c>
      <c r="N561" s="791" t="s">
        <v>1942</v>
      </c>
      <c r="O561" s="791" t="s">
        <v>3966</v>
      </c>
      <c r="Q561" s="288" t="str">
        <f>IFERROR(VLOOKUP(ROWS($Q$3:Q561),$M$3:$N$718,2,0),"")</f>
        <v>Výroba ocelových sudů a podobných nádob</v>
      </c>
      <c r="R561">
        <f>IF(ISNUMBER(SEARCH('1Př1'!$A$32,N561)),MAX($M$2:M560)+1,0)</f>
        <v>559</v>
      </c>
      <c r="S561" s="287" t="s">
        <v>1982</v>
      </c>
      <c r="T561" t="str">
        <f>IFERROR(VLOOKUP(ROWS($T$3:T561),$R$3:$S$718,2,0),"")</f>
        <v>Výroba motocyklů</v>
      </c>
      <c r="U561">
        <f>IF(ISNUMBER(SEARCH('1Př1'!$A$33,N561)),MAX($M$2:M560)+1,0)</f>
        <v>559</v>
      </c>
      <c r="V561" s="287" t="s">
        <v>1982</v>
      </c>
      <c r="W561" t="str">
        <f>IFERROR(VLOOKUP(ROWS($W$3:W561),$U$3:$V$718,2,0),"")</f>
        <v>Výroba motocyklů</v>
      </c>
      <c r="X561">
        <f>IF(ISNUMBER(SEARCH('1Př1'!$A$34,N561)),MAX($M$2:M560)+1,0)</f>
        <v>559</v>
      </c>
      <c r="Y561" s="287" t="s">
        <v>1982</v>
      </c>
      <c r="Z561" t="str">
        <f>IFERROR(VLOOKUP(ROWS($Z$3:Z561),$X$3:$Y$718,2,0),"")</f>
        <v>Výroba motocyklů</v>
      </c>
    </row>
    <row r="562" spans="13:26" ht="25.5">
      <c r="M562" s="286">
        <f>IF(ISNUMBER(SEARCH(ZAKL_DATA!$B$29,N562)),MAX($M$2:M561)+1,0)</f>
        <v>560</v>
      </c>
      <c r="N562" s="791" t="s">
        <v>3967</v>
      </c>
      <c r="O562" s="791" t="s">
        <v>3968</v>
      </c>
      <c r="Q562" s="288" t="str">
        <f>IFERROR(VLOOKUP(ROWS($Q$3:Q562),$M$3:$N$718,2,0),"")</f>
        <v>Výroba ocelových trub, trubek, dutých profilů a souvisejících potrubních tvarovek</v>
      </c>
      <c r="R562">
        <f>IF(ISNUMBER(SEARCH('1Př1'!$A$32,N562)),MAX($M$2:M561)+1,0)</f>
        <v>560</v>
      </c>
      <c r="S562" s="287" t="s">
        <v>1983</v>
      </c>
      <c r="T562" t="str">
        <f>IFERROR(VLOOKUP(ROWS($T$3:T562),$R$3:$S$718,2,0),"")</f>
        <v>Výroba jízdních kol a vozíků pro invalidy</v>
      </c>
      <c r="U562">
        <f>IF(ISNUMBER(SEARCH('1Př1'!$A$33,N562)),MAX($M$2:M561)+1,0)</f>
        <v>560</v>
      </c>
      <c r="V562" s="287" t="s">
        <v>1983</v>
      </c>
      <c r="W562" t="str">
        <f>IFERROR(VLOOKUP(ROWS($W$3:W562),$U$3:$V$718,2,0),"")</f>
        <v>Výroba jízdních kol a vozíků pro invalidy</v>
      </c>
      <c r="X562">
        <f>IF(ISNUMBER(SEARCH('1Př1'!$A$34,N562)),MAX($M$2:M561)+1,0)</f>
        <v>560</v>
      </c>
      <c r="Y562" s="287" t="s">
        <v>1983</v>
      </c>
      <c r="Z562" t="str">
        <f>IFERROR(VLOOKUP(ROWS($Z$3:Z562),$X$3:$Y$718,2,0),"")</f>
        <v>Výroba jízdních kol a vozíků pro invalidy</v>
      </c>
    </row>
    <row r="563" spans="13:26">
      <c r="M563" s="286">
        <f>IF(ISNUMBER(SEARCH(ZAKL_DATA!$B$29,N563)),MAX($M$2:M562)+1,0)</f>
        <v>561</v>
      </c>
      <c r="N563" s="791" t="s">
        <v>1817</v>
      </c>
      <c r="O563" s="791" t="s">
        <v>3969</v>
      </c>
      <c r="Q563" s="288" t="str">
        <f>IFERROR(VLOOKUP(ROWS($Q$3:Q563),$M$3:$N$718,2,0),"")</f>
        <v>Výroba olejů a tuků</v>
      </c>
      <c r="R563">
        <f>IF(ISNUMBER(SEARCH('1Př1'!$A$32,N563)),MAX($M$2:M562)+1,0)</f>
        <v>561</v>
      </c>
      <c r="S563" s="287" t="s">
        <v>1984</v>
      </c>
      <c r="T563" t="str">
        <f>IFERROR(VLOOKUP(ROWS($T$3:T563),$R$3:$S$718,2,0),"")</f>
        <v>Výroba ostatních dopravních prostředků a zařízení j. n.</v>
      </c>
      <c r="U563">
        <f>IF(ISNUMBER(SEARCH('1Př1'!$A$33,N563)),MAX($M$2:M562)+1,0)</f>
        <v>561</v>
      </c>
      <c r="V563" s="287" t="s">
        <v>1984</v>
      </c>
      <c r="W563" t="str">
        <f>IFERROR(VLOOKUP(ROWS($W$3:W563),$U$3:$V$718,2,0),"")</f>
        <v>Výroba ostatních dopravních prostředků a zařízení j. n.</v>
      </c>
      <c r="X563">
        <f>IF(ISNUMBER(SEARCH('1Př1'!$A$34,N563)),MAX($M$2:M562)+1,0)</f>
        <v>561</v>
      </c>
      <c r="Y563" s="287" t="s">
        <v>1984</v>
      </c>
      <c r="Z563" t="str">
        <f>IFERROR(VLOOKUP(ROWS($Z$3:Z563),$X$3:$Y$718,2,0),"")</f>
        <v>Výroba ostatních dopravních prostředků a zařízení j. n.</v>
      </c>
    </row>
    <row r="564" spans="13:26">
      <c r="M564" s="286">
        <f>IF(ISNUMBER(SEARCH(ZAKL_DATA!$B$29,N564)),MAX($M$2:M563)+1,0)</f>
        <v>562</v>
      </c>
      <c r="N564" s="791" t="s">
        <v>1953</v>
      </c>
      <c r="O564" s="791" t="s">
        <v>3970</v>
      </c>
      <c r="Q564" s="288" t="str">
        <f>IFERROR(VLOOKUP(ROWS($Q$3:Q564),$M$3:$N$718,2,0),"")</f>
        <v>Výroba optických kabelů</v>
      </c>
      <c r="R564">
        <f>IF(ISNUMBER(SEARCH('1Př1'!$A$32,N564)),MAX($M$2:M563)+1,0)</f>
        <v>562</v>
      </c>
      <c r="S564" s="287" t="s">
        <v>1985</v>
      </c>
      <c r="T564" t="str">
        <f>IFERROR(VLOOKUP(ROWS($T$3:T564),$R$3:$S$718,2,0),"")</f>
        <v>Výroba kancelářského nábytku a zařízení obchodů</v>
      </c>
      <c r="U564">
        <f>IF(ISNUMBER(SEARCH('1Př1'!$A$33,N564)),MAX($M$2:M563)+1,0)</f>
        <v>562</v>
      </c>
      <c r="V564" s="287" t="s">
        <v>1985</v>
      </c>
      <c r="W564" t="str">
        <f>IFERROR(VLOOKUP(ROWS($W$3:W564),$U$3:$V$718,2,0),"")</f>
        <v>Výroba kancelářského nábytku a zařízení obchodů</v>
      </c>
      <c r="X564">
        <f>IF(ISNUMBER(SEARCH('1Př1'!$A$34,N564)),MAX($M$2:M563)+1,0)</f>
        <v>562</v>
      </c>
      <c r="Y564" s="287" t="s">
        <v>1985</v>
      </c>
      <c r="Z564" t="str">
        <f>IFERROR(VLOOKUP(ROWS($Z$3:Z564),$X$3:$Y$718,2,0),"")</f>
        <v>Výroba kancelářského nábytku a zařízení obchodů</v>
      </c>
    </row>
    <row r="565" spans="13:26" ht="38.25">
      <c r="M565" s="286">
        <f>IF(ISNUMBER(SEARCH(ZAKL_DATA!$B$29,N565)),MAX($M$2:M564)+1,0)</f>
        <v>563</v>
      </c>
      <c r="N565" s="791" t="s">
        <v>3971</v>
      </c>
      <c r="O565" s="791" t="s">
        <v>3972</v>
      </c>
      <c r="Q565" s="288" t="str">
        <f>IFERROR(VLOOKUP(ROWS($Q$3:Q565),$M$3:$N$718,2,0),"")</f>
        <v>Výroba optických přístrojů a zařízení, magnetických a optických médií a fotografických přístrojů a zařízení</v>
      </c>
      <c r="R565">
        <f>IF(ISNUMBER(SEARCH('1Př1'!$A$32,N565)),MAX($M$2:M564)+1,0)</f>
        <v>563</v>
      </c>
      <c r="S565" s="287" t="s">
        <v>1986</v>
      </c>
      <c r="T565" t="str">
        <f>IFERROR(VLOOKUP(ROWS($T$3:T565),$R$3:$S$718,2,0),"")</f>
        <v>Výroba kuchyňského nábytku</v>
      </c>
      <c r="U565">
        <f>IF(ISNUMBER(SEARCH('1Př1'!$A$33,N565)),MAX($M$2:M564)+1,0)</f>
        <v>563</v>
      </c>
      <c r="V565" s="287" t="s">
        <v>1986</v>
      </c>
      <c r="W565" t="str">
        <f>IFERROR(VLOOKUP(ROWS($W$3:W565),$U$3:$V$718,2,0),"")</f>
        <v>Výroba kuchyňského nábytku</v>
      </c>
      <c r="X565">
        <f>IF(ISNUMBER(SEARCH('1Př1'!$A$34,N565)),MAX($M$2:M564)+1,0)</f>
        <v>563</v>
      </c>
      <c r="Y565" s="287" t="s">
        <v>1986</v>
      </c>
      <c r="Z565" t="str">
        <f>IFERROR(VLOOKUP(ROWS($Z$3:Z565),$X$3:$Y$718,2,0),"")</f>
        <v>Výroba kuchyňského nábytku</v>
      </c>
    </row>
    <row r="566" spans="13:26">
      <c r="M566" s="286">
        <f>IF(ISNUMBER(SEARCH(ZAKL_DATA!$B$29,N566)),MAX($M$2:M565)+1,0)</f>
        <v>564</v>
      </c>
      <c r="N566" s="791" t="s">
        <v>1948</v>
      </c>
      <c r="O566" s="791" t="s">
        <v>3973</v>
      </c>
      <c r="Q566" s="288" t="str">
        <f>IFERROR(VLOOKUP(ROWS($Q$3:Q566),$M$3:$N$718,2,0),"")</f>
        <v>Výroba osazených elektronických desek</v>
      </c>
      <c r="R566">
        <f>IF(ISNUMBER(SEARCH('1Př1'!$A$32,N566)),MAX($M$2:M565)+1,0)</f>
        <v>564</v>
      </c>
      <c r="S566" s="287" t="s">
        <v>1987</v>
      </c>
      <c r="T566" t="str">
        <f>IFERROR(VLOOKUP(ROWS($T$3:T566),$R$3:$S$718,2,0),"")</f>
        <v>Výroba matrací</v>
      </c>
      <c r="U566">
        <f>IF(ISNUMBER(SEARCH('1Př1'!$A$33,N566)),MAX($M$2:M565)+1,0)</f>
        <v>564</v>
      </c>
      <c r="V566" s="287" t="s">
        <v>1987</v>
      </c>
      <c r="W566" t="str">
        <f>IFERROR(VLOOKUP(ROWS($W$3:W566),$U$3:$V$718,2,0),"")</f>
        <v>Výroba matrací</v>
      </c>
      <c r="X566">
        <f>IF(ISNUMBER(SEARCH('1Př1'!$A$34,N566)),MAX($M$2:M565)+1,0)</f>
        <v>564</v>
      </c>
      <c r="Y566" s="287" t="s">
        <v>1987</v>
      </c>
      <c r="Z566" t="str">
        <f>IFERROR(VLOOKUP(ROWS($Z$3:Z566),$X$3:$Y$718,2,0),"")</f>
        <v>Výroba matrací</v>
      </c>
    </row>
    <row r="567" spans="13:26">
      <c r="M567" s="286">
        <f>IF(ISNUMBER(SEARCH(ZAKL_DATA!$B$29,N567)),MAX($M$2:M566)+1,0)</f>
        <v>565</v>
      </c>
      <c r="N567" s="791" t="s">
        <v>1852</v>
      </c>
      <c r="O567" s="791" t="s">
        <v>3974</v>
      </c>
      <c r="Q567" s="288" t="str">
        <f>IFERROR(VLOOKUP(ROWS($Q$3:Q567),$M$3:$N$718,2,0),"")</f>
        <v>Výroba osobního prádla</v>
      </c>
      <c r="R567">
        <f>IF(ISNUMBER(SEARCH('1Př1'!$A$32,N567)),MAX($M$2:M566)+1,0)</f>
        <v>565</v>
      </c>
      <c r="S567" s="287" t="s">
        <v>1988</v>
      </c>
      <c r="T567" t="str">
        <f>IFERROR(VLOOKUP(ROWS($T$3:T567),$R$3:$S$718,2,0),"")</f>
        <v>Výroba ostatního nábytku</v>
      </c>
      <c r="U567">
        <f>IF(ISNUMBER(SEARCH('1Př1'!$A$33,N567)),MAX($M$2:M566)+1,0)</f>
        <v>565</v>
      </c>
      <c r="V567" s="287" t="s">
        <v>1988</v>
      </c>
      <c r="W567" t="str">
        <f>IFERROR(VLOOKUP(ROWS($W$3:W567),$U$3:$V$718,2,0),"")</f>
        <v>Výroba ostatního nábytku</v>
      </c>
      <c r="X567">
        <f>IF(ISNUMBER(SEARCH('1Př1'!$A$34,N567)),MAX($M$2:M566)+1,0)</f>
        <v>565</v>
      </c>
      <c r="Y567" s="287" t="s">
        <v>1988</v>
      </c>
      <c r="Z567" t="str">
        <f>IFERROR(VLOOKUP(ROWS($Z$3:Z567),$X$3:$Y$718,2,0),"")</f>
        <v>Výroba ostatního nábytku</v>
      </c>
    </row>
    <row r="568" spans="13:26">
      <c r="M568" s="286">
        <f>IF(ISNUMBER(SEARCH(ZAKL_DATA!$B$29,N568)),MAX($M$2:M567)+1,0)</f>
        <v>566</v>
      </c>
      <c r="N568" s="791" t="s">
        <v>3975</v>
      </c>
      <c r="O568" s="791" t="s">
        <v>3976</v>
      </c>
      <c r="Q568" s="288" t="str">
        <f>IFERROR(VLOOKUP(ROWS($Q$3:Q568),$M$3:$N$718,2,0),"")</f>
        <v>Výroba ostatní obuvi</v>
      </c>
      <c r="R568">
        <f>IF(ISNUMBER(SEARCH('1Př1'!$A$32,N568)),MAX($M$2:M567)+1,0)</f>
        <v>566</v>
      </c>
      <c r="S568" s="287" t="s">
        <v>1989</v>
      </c>
      <c r="T568" t="str">
        <f>IFERROR(VLOOKUP(ROWS($T$3:T568),$R$3:$S$718,2,0),"")</f>
        <v>Ražení mincí</v>
      </c>
      <c r="U568">
        <f>IF(ISNUMBER(SEARCH('1Př1'!$A$33,N568)),MAX($M$2:M567)+1,0)</f>
        <v>566</v>
      </c>
      <c r="V568" s="287" t="s">
        <v>1989</v>
      </c>
      <c r="W568" t="str">
        <f>IFERROR(VLOOKUP(ROWS($W$3:W568),$U$3:$V$718,2,0),"")</f>
        <v>Ražení mincí</v>
      </c>
      <c r="X568">
        <f>IF(ISNUMBER(SEARCH('1Př1'!$A$34,N568)),MAX($M$2:M567)+1,0)</f>
        <v>566</v>
      </c>
      <c r="Y568" s="287" t="s">
        <v>1989</v>
      </c>
      <c r="Z568" t="str">
        <f>IFERROR(VLOOKUP(ROWS($Z$3:Z568),$X$3:$Y$718,2,0),"")</f>
        <v>Ražení mincí</v>
      </c>
    </row>
    <row r="569" spans="13:26" ht="25.5">
      <c r="M569" s="286">
        <f>IF(ISNUMBER(SEARCH(ZAKL_DATA!$B$29,N569)),MAX($M$2:M568)+1,0)</f>
        <v>567</v>
      </c>
      <c r="N569" s="791" t="s">
        <v>1916</v>
      </c>
      <c r="O569" s="791" t="s">
        <v>3977</v>
      </c>
      <c r="Q569" s="288" t="str">
        <f>IFERROR(VLOOKUP(ROWS($Q$3:Q569),$M$3:$N$718,2,0),"")</f>
        <v>Výroba ostatních betonových, cementových a sádrových výrobků</v>
      </c>
      <c r="R569">
        <f>IF(ISNUMBER(SEARCH('1Př1'!$A$32,N569)),MAX($M$2:M568)+1,0)</f>
        <v>567</v>
      </c>
      <c r="S569" s="287" t="s">
        <v>1990</v>
      </c>
      <c r="T569" t="str">
        <f>IFERROR(VLOOKUP(ROWS($T$3:T569),$R$3:$S$718,2,0),"")</f>
        <v>Výroba klenotů a příbuzných výrobků</v>
      </c>
      <c r="U569">
        <f>IF(ISNUMBER(SEARCH('1Př1'!$A$33,N569)),MAX($M$2:M568)+1,0)</f>
        <v>567</v>
      </c>
      <c r="V569" s="287" t="s">
        <v>1990</v>
      </c>
      <c r="W569" t="str">
        <f>IFERROR(VLOOKUP(ROWS($W$3:W569),$U$3:$V$718,2,0),"")</f>
        <v>Výroba klenotů a příbuzných výrobků</v>
      </c>
      <c r="X569">
        <f>IF(ISNUMBER(SEARCH('1Př1'!$A$34,N569)),MAX($M$2:M568)+1,0)</f>
        <v>567</v>
      </c>
      <c r="Y569" s="287" t="s">
        <v>1990</v>
      </c>
      <c r="Z569" t="str">
        <f>IFERROR(VLOOKUP(ROWS($Z$3:Z569),$X$3:$Y$718,2,0),"")</f>
        <v>Výroba klenotů a příbuzných výrobků</v>
      </c>
    </row>
    <row r="570" spans="13:26">
      <c r="M570" s="286">
        <f>IF(ISNUMBER(SEARCH(ZAKL_DATA!$B$29,N570)),MAX($M$2:M569)+1,0)</f>
        <v>568</v>
      </c>
      <c r="N570" s="791" t="s">
        <v>1960</v>
      </c>
      <c r="O570" s="791" t="s">
        <v>3978</v>
      </c>
      <c r="Q570" s="288" t="str">
        <f>IFERROR(VLOOKUP(ROWS($Q$3:Q570),$M$3:$N$718,2,0),"")</f>
        <v>Výroba ostatních čerpadel a kompresorů</v>
      </c>
      <c r="R570">
        <f>IF(ISNUMBER(SEARCH('1Př1'!$A$32,N570)),MAX($M$2:M569)+1,0)</f>
        <v>568</v>
      </c>
      <c r="S570" s="287" t="s">
        <v>1991</v>
      </c>
      <c r="T570" t="str">
        <f>IFERROR(VLOOKUP(ROWS($T$3:T570),$R$3:$S$718,2,0),"")</f>
        <v>Výroba bižuterie a příbuzných výrobků</v>
      </c>
      <c r="U570">
        <f>IF(ISNUMBER(SEARCH('1Př1'!$A$33,N570)),MAX($M$2:M569)+1,0)</f>
        <v>568</v>
      </c>
      <c r="V570" s="287" t="s">
        <v>1991</v>
      </c>
      <c r="W570" t="str">
        <f>IFERROR(VLOOKUP(ROWS($W$3:W570),$U$3:$V$718,2,0),"")</f>
        <v>Výroba bižuterie a příbuzných výrobků</v>
      </c>
      <c r="X570">
        <f>IF(ISNUMBER(SEARCH('1Př1'!$A$34,N570)),MAX($M$2:M569)+1,0)</f>
        <v>568</v>
      </c>
      <c r="Y570" s="287" t="s">
        <v>1991</v>
      </c>
      <c r="Z570" t="str">
        <f>IFERROR(VLOOKUP(ROWS($Z$3:Z570),$X$3:$Y$718,2,0),"")</f>
        <v>Výroba bižuterie a příbuzných výrobků</v>
      </c>
    </row>
    <row r="571" spans="13:26" ht="25.5">
      <c r="M571" s="286">
        <f>IF(ISNUMBER(SEARCH(ZAKL_DATA!$B$29,N571)),MAX($M$2:M570)+1,0)</f>
        <v>569</v>
      </c>
      <c r="N571" s="791" t="s">
        <v>1979</v>
      </c>
      <c r="O571" s="791" t="s">
        <v>3979</v>
      </c>
      <c r="Q571" s="288" t="str">
        <f>IFERROR(VLOOKUP(ROWS($Q$3:Q571),$M$3:$N$718,2,0),"")</f>
        <v>Výroba ostatních dílů a příslušenství pro motorová vozidla</v>
      </c>
      <c r="R571">
        <f>IF(ISNUMBER(SEARCH('1Př1'!$A$32,N571)),MAX($M$2:M570)+1,0)</f>
        <v>569</v>
      </c>
      <c r="S571" s="287" t="s">
        <v>1992</v>
      </c>
      <c r="T571" t="str">
        <f>IFERROR(VLOOKUP(ROWS($T$3:T571),$R$3:$S$718,2,0),"")</f>
        <v>Výroba košťat a kartáčnických výrobků</v>
      </c>
      <c r="U571">
        <f>IF(ISNUMBER(SEARCH('1Př1'!$A$33,N571)),MAX($M$2:M570)+1,0)</f>
        <v>569</v>
      </c>
      <c r="V571" s="287" t="s">
        <v>1992</v>
      </c>
      <c r="W571" t="str">
        <f>IFERROR(VLOOKUP(ROWS($W$3:W571),$U$3:$V$718,2,0),"")</f>
        <v>Výroba košťat a kartáčnických výrobků</v>
      </c>
      <c r="X571">
        <f>IF(ISNUMBER(SEARCH('1Př1'!$A$34,N571)),MAX($M$2:M570)+1,0)</f>
        <v>569</v>
      </c>
      <c r="Y571" s="287" t="s">
        <v>1992</v>
      </c>
      <c r="Z571" t="str">
        <f>IFERROR(VLOOKUP(ROWS($Z$3:Z571),$X$3:$Y$718,2,0),"")</f>
        <v>Výroba košťat a kartáčnických výrobků</v>
      </c>
    </row>
    <row r="572" spans="13:26" ht="25.5">
      <c r="M572" s="286">
        <f>IF(ISNUMBER(SEARCH(ZAKL_DATA!$B$29,N572)),MAX($M$2:M571)+1,0)</f>
        <v>570</v>
      </c>
      <c r="N572" s="791" t="s">
        <v>1984</v>
      </c>
      <c r="O572" s="791" t="s">
        <v>3980</v>
      </c>
      <c r="Q572" s="288" t="str">
        <f>IFERROR(VLOOKUP(ROWS($Q$3:Q572),$M$3:$N$718,2,0),"")</f>
        <v>Výroba ostatních dopravních prostředků a zařízení j. n.</v>
      </c>
      <c r="R572">
        <f>IF(ISNUMBER(SEARCH('1Př1'!$A$32,N572)),MAX($M$2:M571)+1,0)</f>
        <v>570</v>
      </c>
      <c r="S572" s="287" t="s">
        <v>1993</v>
      </c>
      <c r="T572" t="str">
        <f>IFERROR(VLOOKUP(ROWS($T$3:T572),$R$3:$S$718,2,0),"")</f>
        <v>Ostatní zpracovatelský průmysl j. n.</v>
      </c>
      <c r="U572">
        <f>IF(ISNUMBER(SEARCH('1Př1'!$A$33,N572)),MAX($M$2:M571)+1,0)</f>
        <v>570</v>
      </c>
      <c r="V572" s="287" t="s">
        <v>1993</v>
      </c>
      <c r="W572" t="str">
        <f>IFERROR(VLOOKUP(ROWS($W$3:W572),$U$3:$V$718,2,0),"")</f>
        <v>Ostatní zpracovatelský průmysl j. n.</v>
      </c>
      <c r="X572">
        <f>IF(ISNUMBER(SEARCH('1Př1'!$A$34,N572)),MAX($M$2:M571)+1,0)</f>
        <v>570</v>
      </c>
      <c r="Y572" s="287" t="s">
        <v>1993</v>
      </c>
      <c r="Z572" t="str">
        <f>IFERROR(VLOOKUP(ROWS($Z$3:Z572),$X$3:$Y$718,2,0),"")</f>
        <v>Ostatní zpracovatelský průmysl j. n.</v>
      </c>
    </row>
    <row r="573" spans="13:26" ht="25.5">
      <c r="M573" s="286">
        <f>IF(ISNUMBER(SEARCH(ZAKL_DATA!$B$29,N573)),MAX($M$2:M572)+1,0)</f>
        <v>571</v>
      </c>
      <c r="N573" s="791" t="s">
        <v>3981</v>
      </c>
      <c r="O573" s="791" t="s">
        <v>3982</v>
      </c>
      <c r="Q573" s="288" t="str">
        <f>IFERROR(VLOOKUP(ROWS($Q$3:Q573),$M$3:$N$718,2,0),"")</f>
        <v>Výroba ostatních dřevěných, korkových, proutěných a slaměných výrobků</v>
      </c>
      <c r="R573">
        <f>IF(ISNUMBER(SEARCH('1Př1'!$A$32,N573)),MAX($M$2:M572)+1,0)</f>
        <v>571</v>
      </c>
      <c r="S573" s="287" t="s">
        <v>1994</v>
      </c>
      <c r="T573" t="str">
        <f>IFERROR(VLOOKUP(ROWS($T$3:T573),$R$3:$S$718,2,0),"")</f>
        <v>Opravy kovodělných výrobků</v>
      </c>
      <c r="U573">
        <f>IF(ISNUMBER(SEARCH('1Př1'!$A$33,N573)),MAX($M$2:M572)+1,0)</f>
        <v>571</v>
      </c>
      <c r="V573" s="287" t="s">
        <v>1994</v>
      </c>
      <c r="W573" t="str">
        <f>IFERROR(VLOOKUP(ROWS($W$3:W573),$U$3:$V$718,2,0),"")</f>
        <v>Opravy kovodělných výrobků</v>
      </c>
      <c r="X573">
        <f>IF(ISNUMBER(SEARCH('1Př1'!$A$34,N573)),MAX($M$2:M572)+1,0)</f>
        <v>571</v>
      </c>
      <c r="Y573" s="287" t="s">
        <v>1994</v>
      </c>
      <c r="Z573" t="str">
        <f>IFERROR(VLOOKUP(ROWS($Z$3:Z573),$X$3:$Y$718,2,0),"")</f>
        <v>Opravy kovodělných výrobků</v>
      </c>
    </row>
    <row r="574" spans="13:26">
      <c r="M574" s="286">
        <f>IF(ISNUMBER(SEARCH(ZAKL_DATA!$B$29,N574)),MAX($M$2:M573)+1,0)</f>
        <v>572</v>
      </c>
      <c r="N574" s="791" t="s">
        <v>1552</v>
      </c>
      <c r="O574" s="791" t="s">
        <v>3983</v>
      </c>
      <c r="Q574" s="288" t="str">
        <f>IFERROR(VLOOKUP(ROWS($Q$3:Q574),$M$3:$N$718,2,0),"")</f>
        <v>Výroba ostatních elektrických zařízení</v>
      </c>
      <c r="R574">
        <f>IF(ISNUMBER(SEARCH('1Př1'!$A$32,N574)),MAX($M$2:M573)+1,0)</f>
        <v>572</v>
      </c>
      <c r="S574" s="287" t="s">
        <v>1995</v>
      </c>
      <c r="T574" t="str">
        <f>IFERROR(VLOOKUP(ROWS($T$3:T574),$R$3:$S$718,2,0),"")</f>
        <v>Opravy strojů</v>
      </c>
      <c r="U574">
        <f>IF(ISNUMBER(SEARCH('1Př1'!$A$33,N574)),MAX($M$2:M573)+1,0)</f>
        <v>572</v>
      </c>
      <c r="V574" s="287" t="s">
        <v>1995</v>
      </c>
      <c r="W574" t="str">
        <f>IFERROR(VLOOKUP(ROWS($W$3:W574),$U$3:$V$718,2,0),"")</f>
        <v>Opravy strojů</v>
      </c>
      <c r="X574">
        <f>IF(ISNUMBER(SEARCH('1Př1'!$A$34,N574)),MAX($M$2:M573)+1,0)</f>
        <v>572</v>
      </c>
      <c r="Y574" s="287" t="s">
        <v>1995</v>
      </c>
      <c r="Z574" t="str">
        <f>IFERROR(VLOOKUP(ROWS($Z$3:Z574),$X$3:$Y$718,2,0),"")</f>
        <v>Opravy strojů</v>
      </c>
    </row>
    <row r="575" spans="13:26" ht="25.5">
      <c r="M575" s="286">
        <f>IF(ISNUMBER(SEARCH(ZAKL_DATA!$B$29,N575)),MAX($M$2:M574)+1,0)</f>
        <v>573</v>
      </c>
      <c r="N575" s="791" t="s">
        <v>3984</v>
      </c>
      <c r="O575" s="791" t="s">
        <v>3985</v>
      </c>
      <c r="Q575" s="288" t="str">
        <f>IFERROR(VLOOKUP(ROWS($Q$3:Q575),$M$3:$N$718,2,0),"")</f>
        <v>Výroba ostatních elektronických a elektrických vodičů a kabelů</v>
      </c>
      <c r="R575">
        <f>IF(ISNUMBER(SEARCH('1Př1'!$A$32,N575)),MAX($M$2:M574)+1,0)</f>
        <v>573</v>
      </c>
      <c r="S575" s="287" t="s">
        <v>1996</v>
      </c>
      <c r="T575" t="str">
        <f>IFERROR(VLOOKUP(ROWS($T$3:T575),$R$3:$S$718,2,0),"")</f>
        <v>Opravy elektronických a optických přístrojů a zařízení</v>
      </c>
      <c r="U575">
        <f>IF(ISNUMBER(SEARCH('1Př1'!$A$33,N575)),MAX($M$2:M574)+1,0)</f>
        <v>573</v>
      </c>
      <c r="V575" s="287" t="s">
        <v>1996</v>
      </c>
      <c r="W575" t="str">
        <f>IFERROR(VLOOKUP(ROWS($W$3:W575),$U$3:$V$718,2,0),"")</f>
        <v>Opravy elektronických a optických přístrojů a zařízení</v>
      </c>
      <c r="X575">
        <f>IF(ISNUMBER(SEARCH('1Př1'!$A$34,N575)),MAX($M$2:M574)+1,0)</f>
        <v>573</v>
      </c>
      <c r="Y575" s="287" t="s">
        <v>1996</v>
      </c>
      <c r="Z575" t="str">
        <f>IFERROR(VLOOKUP(ROWS($Z$3:Z575),$X$3:$Y$718,2,0),"")</f>
        <v>Opravy elektronických a optických přístrojů a zařízení</v>
      </c>
    </row>
    <row r="576" spans="13:26">
      <c r="M576" s="286">
        <f>IF(ISNUMBER(SEARCH(ZAKL_DATA!$B$29,N576)),MAX($M$2:M575)+1,0)</f>
        <v>574</v>
      </c>
      <c r="N576" s="791" t="s">
        <v>1908</v>
      </c>
      <c r="O576" s="791" t="s">
        <v>3986</v>
      </c>
      <c r="Q576" s="288" t="str">
        <f>IFERROR(VLOOKUP(ROWS($Q$3:Q576),$M$3:$N$718,2,0),"")</f>
        <v>Výroba ostatních keramických výrobků</v>
      </c>
      <c r="R576">
        <f>IF(ISNUMBER(SEARCH('1Př1'!$A$32,N576)),MAX($M$2:M575)+1,0)</f>
        <v>574</v>
      </c>
      <c r="S576" s="287" t="s">
        <v>1997</v>
      </c>
      <c r="T576" t="str">
        <f>IFERROR(VLOOKUP(ROWS($T$3:T576),$R$3:$S$718,2,0),"")</f>
        <v>Opravy elektrických zařízen</v>
      </c>
      <c r="U576">
        <f>IF(ISNUMBER(SEARCH('1Př1'!$A$33,N576)),MAX($M$2:M575)+1,0)</f>
        <v>574</v>
      </c>
      <c r="V576" s="287" t="s">
        <v>1997</v>
      </c>
      <c r="W576" t="str">
        <f>IFERROR(VLOOKUP(ROWS($W$3:W576),$U$3:$V$718,2,0),"")</f>
        <v>Opravy elektrických zařízen</v>
      </c>
      <c r="X576">
        <f>IF(ISNUMBER(SEARCH('1Př1'!$A$34,N576)),MAX($M$2:M575)+1,0)</f>
        <v>574</v>
      </c>
      <c r="Y576" s="287" t="s">
        <v>1997</v>
      </c>
      <c r="Z576" t="str">
        <f>IFERROR(VLOOKUP(ROWS($Z$3:Z576),$X$3:$Y$718,2,0),"")</f>
        <v>Opravy elektrických zařízen</v>
      </c>
    </row>
    <row r="577" spans="13:26" ht="25.5">
      <c r="M577" s="286">
        <f>IF(ISNUMBER(SEARCH(ZAKL_DATA!$B$29,N577)),MAX($M$2:M576)+1,0)</f>
        <v>575</v>
      </c>
      <c r="N577" s="791" t="s">
        <v>3987</v>
      </c>
      <c r="O577" s="791" t="s">
        <v>3988</v>
      </c>
      <c r="Q577" s="288" t="str">
        <f>IFERROR(VLOOKUP(ROWS($Q$3:Q577),$M$3:$N$718,2,0),"")</f>
        <v>Výroba ostatních kovových cisteren, nádrží a podobných nádob</v>
      </c>
      <c r="R577">
        <f>IF(ISNUMBER(SEARCH('1Př1'!$A$32,N577)),MAX($M$2:M576)+1,0)</f>
        <v>575</v>
      </c>
      <c r="S577" s="287" t="s">
        <v>1998</v>
      </c>
      <c r="T577" t="str">
        <f>IFERROR(VLOOKUP(ROWS($T$3:T577),$R$3:$S$718,2,0),"")</f>
        <v>Opravy a údržba lodí a člunů</v>
      </c>
      <c r="U577">
        <f>IF(ISNUMBER(SEARCH('1Př1'!$A$33,N577)),MAX($M$2:M576)+1,0)</f>
        <v>575</v>
      </c>
      <c r="V577" s="287" t="s">
        <v>1998</v>
      </c>
      <c r="W577" t="str">
        <f>IFERROR(VLOOKUP(ROWS($W$3:W577),$U$3:$V$718,2,0),"")</f>
        <v>Opravy a údržba lodí a člunů</v>
      </c>
      <c r="X577">
        <f>IF(ISNUMBER(SEARCH('1Př1'!$A$34,N577)),MAX($M$2:M576)+1,0)</f>
        <v>575</v>
      </c>
      <c r="Y577" s="287" t="s">
        <v>1998</v>
      </c>
      <c r="Z577" t="str">
        <f>IFERROR(VLOOKUP(ROWS($Z$3:Z577),$X$3:$Y$718,2,0),"")</f>
        <v>Opravy a údržba lodí a člunů</v>
      </c>
    </row>
    <row r="578" spans="13:26">
      <c r="M578" s="286">
        <f>IF(ISNUMBER(SEARCH(ZAKL_DATA!$B$29,N578)),MAX($M$2:M577)+1,0)</f>
        <v>576</v>
      </c>
      <c r="N578" s="791" t="s">
        <v>3989</v>
      </c>
      <c r="O578" s="791" t="s">
        <v>3990</v>
      </c>
      <c r="Q578" s="288" t="str">
        <f>IFERROR(VLOOKUP(ROWS($Q$3:Q578),$M$3:$N$718,2,0),"")</f>
        <v>Výroba ostatních kovových výrobků j. n.</v>
      </c>
      <c r="R578">
        <f>IF(ISNUMBER(SEARCH('1Př1'!$A$32,N578)),MAX($M$2:M577)+1,0)</f>
        <v>576</v>
      </c>
      <c r="S578" s="287" t="s">
        <v>1999</v>
      </c>
      <c r="T578" t="str">
        <f>IFERROR(VLOOKUP(ROWS($T$3:T578),$R$3:$S$718,2,0),"")</f>
        <v>Opravy a údržba letadel a kosmických lodí</v>
      </c>
      <c r="U578">
        <f>IF(ISNUMBER(SEARCH('1Př1'!$A$33,N578)),MAX($M$2:M577)+1,0)</f>
        <v>576</v>
      </c>
      <c r="V578" s="287" t="s">
        <v>1999</v>
      </c>
      <c r="W578" t="str">
        <f>IFERROR(VLOOKUP(ROWS($W$3:W578),$U$3:$V$718,2,0),"")</f>
        <v>Opravy a údržba letadel a kosmických lodí</v>
      </c>
      <c r="X578">
        <f>IF(ISNUMBER(SEARCH('1Př1'!$A$34,N578)),MAX($M$2:M577)+1,0)</f>
        <v>576</v>
      </c>
      <c r="Y578" s="287" t="s">
        <v>1999</v>
      </c>
      <c r="Z578" t="str">
        <f>IFERROR(VLOOKUP(ROWS($Z$3:Z578),$X$3:$Y$718,2,0),"")</f>
        <v>Opravy a údržba letadel a kosmických lodí</v>
      </c>
    </row>
    <row r="579" spans="13:26" ht="25.5">
      <c r="M579" s="286">
        <f>IF(ISNUMBER(SEARCH(ZAKL_DATA!$B$29,N579)),MAX($M$2:M578)+1,0)</f>
        <v>577</v>
      </c>
      <c r="N579" s="791" t="s">
        <v>1838</v>
      </c>
      <c r="O579" s="791" t="s">
        <v>3991</v>
      </c>
      <c r="Q579" s="288" t="str">
        <f>IFERROR(VLOOKUP(ROWS($Q$3:Q579),$M$3:$N$718,2,0),"")</f>
        <v>Výroba ostatních nedestilovaných kvašených nápojů</v>
      </c>
      <c r="R579">
        <f>IF(ISNUMBER(SEARCH('1Př1'!$A$32,N579)),MAX($M$2:M578)+1,0)</f>
        <v>577</v>
      </c>
      <c r="S579" s="287" t="s">
        <v>2000</v>
      </c>
      <c r="T579" t="str">
        <f>IFERROR(VLOOKUP(ROWS($T$3:T579),$R$3:$S$718,2,0),"")</f>
        <v>Opravy a údržba ostatních dopravních prostředků a zařízení j. n.</v>
      </c>
      <c r="U579">
        <f>IF(ISNUMBER(SEARCH('1Př1'!$A$33,N579)),MAX($M$2:M578)+1,0)</f>
        <v>577</v>
      </c>
      <c r="V579" s="287" t="s">
        <v>2000</v>
      </c>
      <c r="W579" t="str">
        <f>IFERROR(VLOOKUP(ROWS($W$3:W579),$U$3:$V$718,2,0),"")</f>
        <v>Opravy a údržba ostatních dopravních prostředků a zařízení j. n.</v>
      </c>
      <c r="X579">
        <f>IF(ISNUMBER(SEARCH('1Př1'!$A$34,N579)),MAX($M$2:M578)+1,0)</f>
        <v>577</v>
      </c>
      <c r="Y579" s="287" t="s">
        <v>2000</v>
      </c>
      <c r="Z579" t="str">
        <f>IFERROR(VLOOKUP(ROWS($Z$3:Z579),$X$3:$Y$718,2,0),"")</f>
        <v>Opravy a údržba ostatních dopravních prostředků a zařízení j. n.</v>
      </c>
    </row>
    <row r="580" spans="13:26" ht="25.5">
      <c r="M580" s="286">
        <f>IF(ISNUMBER(SEARCH(ZAKL_DATA!$B$29,N580)),MAX($M$2:M579)+1,0)</f>
        <v>578</v>
      </c>
      <c r="N580" s="791" t="s">
        <v>3992</v>
      </c>
      <c r="O580" s="791" t="s">
        <v>3993</v>
      </c>
      <c r="Q580" s="288" t="str">
        <f>IFERROR(VLOOKUP(ROWS($Q$3:Q580),$M$3:$N$718,2,0),"")</f>
        <v>Výroba ostatních nekovových minerálních výrobků j. n.</v>
      </c>
      <c r="R580">
        <f>IF(ISNUMBER(SEARCH('1Př1'!$A$32,N580)),MAX($M$2:M579)+1,0)</f>
        <v>578</v>
      </c>
      <c r="S580" s="287" t="s">
        <v>2001</v>
      </c>
      <c r="T580" t="str">
        <f>IFERROR(VLOOKUP(ROWS($T$3:T580),$R$3:$S$718,2,0),"")</f>
        <v>Opravy ostatních zařízení</v>
      </c>
      <c r="U580">
        <f>IF(ISNUMBER(SEARCH('1Př1'!$A$33,N580)),MAX($M$2:M579)+1,0)</f>
        <v>578</v>
      </c>
      <c r="V580" s="287" t="s">
        <v>2001</v>
      </c>
      <c r="W580" t="str">
        <f>IFERROR(VLOOKUP(ROWS($W$3:W580),$U$3:$V$718,2,0),"")</f>
        <v>Opravy ostatních zařízení</v>
      </c>
      <c r="X580">
        <f>IF(ISNUMBER(SEARCH('1Př1'!$A$34,N580)),MAX($M$2:M579)+1,0)</f>
        <v>578</v>
      </c>
      <c r="Y580" s="287" t="s">
        <v>2001</v>
      </c>
      <c r="Z580" t="str">
        <f>IFERROR(VLOOKUP(ROWS($Z$3:Z580),$X$3:$Y$718,2,0),"")</f>
        <v>Opravy ostatních zařízení</v>
      </c>
    </row>
    <row r="581" spans="13:26">
      <c r="M581" s="286">
        <f>IF(ISNUMBER(SEARCH(ZAKL_DATA!$B$29,N581)),MAX($M$2:M580)+1,0)</f>
        <v>579</v>
      </c>
      <c r="N581" s="791" t="s">
        <v>1970</v>
      </c>
      <c r="O581" s="791" t="s">
        <v>3994</v>
      </c>
      <c r="Q581" s="288" t="str">
        <f>IFERROR(VLOOKUP(ROWS($Q$3:Q581),$M$3:$N$718,2,0),"")</f>
        <v>Výroba ostatních obráběcích strojů</v>
      </c>
      <c r="R581">
        <f>IF(ISNUMBER(SEARCH('1Př1'!$A$32,N581)),MAX($M$2:M580)+1,0)</f>
        <v>579</v>
      </c>
      <c r="S581" s="287" t="s">
        <v>2002</v>
      </c>
      <c r="T581" t="str">
        <f>IFERROR(VLOOKUP(ROWS($T$3:T581),$R$3:$S$718,2,0),"")</f>
        <v>Výroba elektřiny</v>
      </c>
      <c r="U581">
        <f>IF(ISNUMBER(SEARCH('1Př1'!$A$33,N581)),MAX($M$2:M580)+1,0)</f>
        <v>579</v>
      </c>
      <c r="V581" s="287" t="s">
        <v>2002</v>
      </c>
      <c r="W581" t="str">
        <f>IFERROR(VLOOKUP(ROWS($W$3:W581),$U$3:$V$718,2,0),"")</f>
        <v>Výroba elektřiny</v>
      </c>
      <c r="X581">
        <f>IF(ISNUMBER(SEARCH('1Př1'!$A$34,N581)),MAX($M$2:M580)+1,0)</f>
        <v>579</v>
      </c>
      <c r="Y581" s="287" t="s">
        <v>2002</v>
      </c>
      <c r="Z581" t="str">
        <f>IFERROR(VLOOKUP(ROWS($Z$3:Z581),$X$3:$Y$718,2,0),"")</f>
        <v>Výroba elektřiny</v>
      </c>
    </row>
    <row r="582" spans="13:26">
      <c r="M582" s="286">
        <f>IF(ISNUMBER(SEARCH(ZAKL_DATA!$B$29,N582)),MAX($M$2:M581)+1,0)</f>
        <v>580</v>
      </c>
      <c r="N582" s="791" t="s">
        <v>3995</v>
      </c>
      <c r="O582" s="791" t="s">
        <v>3996</v>
      </c>
      <c r="Q582" s="288" t="str">
        <f>IFERROR(VLOOKUP(ROWS($Q$3:Q582),$M$3:$N$718,2,0),"")</f>
        <v>Výroba ostatních oděvů a oděvních doplňků j. n.</v>
      </c>
      <c r="R582">
        <f>IF(ISNUMBER(SEARCH('1Př1'!$A$32,N582)),MAX($M$2:M581)+1,0)</f>
        <v>580</v>
      </c>
      <c r="S582" s="287" t="s">
        <v>2003</v>
      </c>
      <c r="T582" t="str">
        <f>IFERROR(VLOOKUP(ROWS($T$3:T582),$R$3:$S$718,2,0),"")</f>
        <v>Přenos elektřiny</v>
      </c>
      <c r="U582">
        <f>IF(ISNUMBER(SEARCH('1Př1'!$A$33,N582)),MAX($M$2:M581)+1,0)</f>
        <v>580</v>
      </c>
      <c r="V582" s="287" t="s">
        <v>2003</v>
      </c>
      <c r="W582" t="str">
        <f>IFERROR(VLOOKUP(ROWS($W$3:W582),$U$3:$V$718,2,0),"")</f>
        <v>Přenos elektřiny</v>
      </c>
      <c r="X582">
        <f>IF(ISNUMBER(SEARCH('1Př1'!$A$34,N582)),MAX($M$2:M581)+1,0)</f>
        <v>580</v>
      </c>
      <c r="Y582" s="287" t="s">
        <v>2003</v>
      </c>
      <c r="Z582" t="str">
        <f>IFERROR(VLOOKUP(ROWS($Z$3:Z582),$X$3:$Y$718,2,0),"")</f>
        <v>Přenos elektřiny</v>
      </c>
    </row>
    <row r="583" spans="13:26">
      <c r="M583" s="286">
        <f>IF(ISNUMBER(SEARCH(ZAKL_DATA!$B$29,N583)),MAX($M$2:M582)+1,0)</f>
        <v>581</v>
      </c>
      <c r="N583" s="791" t="s">
        <v>2194</v>
      </c>
      <c r="O583" s="791" t="s">
        <v>3997</v>
      </c>
      <c r="Q583" s="288" t="str">
        <f>IFERROR(VLOOKUP(ROWS($Q$3:Q583),$M$3:$N$718,2,0),"")</f>
        <v>Výroba ostatních papírenských vláknin</v>
      </c>
      <c r="R583">
        <f>IF(ISNUMBER(SEARCH('1Př1'!$A$32,N583)),MAX($M$2:M582)+1,0)</f>
        <v>581</v>
      </c>
      <c r="S583" s="287" t="s">
        <v>2004</v>
      </c>
      <c r="T583" t="str">
        <f>IFERROR(VLOOKUP(ROWS($T$3:T583),$R$3:$S$718,2,0),"")</f>
        <v>Rozvod elektřiny</v>
      </c>
      <c r="U583">
        <f>IF(ISNUMBER(SEARCH('1Př1'!$A$33,N583)),MAX($M$2:M582)+1,0)</f>
        <v>581</v>
      </c>
      <c r="V583" s="287" t="s">
        <v>2004</v>
      </c>
      <c r="W583" t="str">
        <f>IFERROR(VLOOKUP(ROWS($W$3:W583),$U$3:$V$718,2,0),"")</f>
        <v>Rozvod elektřiny</v>
      </c>
      <c r="X583">
        <f>IF(ISNUMBER(SEARCH('1Př1'!$A$34,N583)),MAX($M$2:M582)+1,0)</f>
        <v>581</v>
      </c>
      <c r="Y583" s="287" t="s">
        <v>2004</v>
      </c>
      <c r="Z583" t="str">
        <f>IFERROR(VLOOKUP(ROWS($Z$3:Z583),$X$3:$Y$718,2,0),"")</f>
        <v>Rozvod elektřiny</v>
      </c>
    </row>
    <row r="584" spans="13:26">
      <c r="M584" s="286">
        <f>IF(ISNUMBER(SEARCH(ZAKL_DATA!$B$29,N584)),MAX($M$2:M583)+1,0)</f>
        <v>582</v>
      </c>
      <c r="N584" s="791" t="s">
        <v>1896</v>
      </c>
      <c r="O584" s="791" t="s">
        <v>3998</v>
      </c>
      <c r="Q584" s="288" t="str">
        <f>IFERROR(VLOOKUP(ROWS($Q$3:Q584),$M$3:$N$718,2,0),"")</f>
        <v>Výroba ostatních plastových výrobků</v>
      </c>
      <c r="R584">
        <f>IF(ISNUMBER(SEARCH('1Př1'!$A$32,N584)),MAX($M$2:M583)+1,0)</f>
        <v>582</v>
      </c>
      <c r="S584" s="287" t="s">
        <v>2005</v>
      </c>
      <c r="T584" t="str">
        <f>IFERROR(VLOOKUP(ROWS($T$3:T584),$R$3:$S$718,2,0),"")</f>
        <v>Obchod s elektřinou</v>
      </c>
      <c r="U584">
        <f>IF(ISNUMBER(SEARCH('1Př1'!$A$33,N584)),MAX($M$2:M583)+1,0)</f>
        <v>582</v>
      </c>
      <c r="V584" s="287" t="s">
        <v>2005</v>
      </c>
      <c r="W584" t="str">
        <f>IFERROR(VLOOKUP(ROWS($W$3:W584),$U$3:$V$718,2,0),"")</f>
        <v>Obchod s elektřinou</v>
      </c>
      <c r="X584">
        <f>IF(ISNUMBER(SEARCH('1Př1'!$A$34,N584)),MAX($M$2:M583)+1,0)</f>
        <v>582</v>
      </c>
      <c r="Y584" s="287" t="s">
        <v>2005</v>
      </c>
      <c r="Z584" t="str">
        <f>IFERROR(VLOOKUP(ROWS($Z$3:Z584),$X$3:$Y$718,2,0),"")</f>
        <v>Obchod s elektřinou</v>
      </c>
    </row>
    <row r="585" spans="13:26">
      <c r="M585" s="286">
        <f>IF(ISNUMBER(SEARCH(ZAKL_DATA!$B$29,N585)),MAX($M$2:M584)+1,0)</f>
        <v>583</v>
      </c>
      <c r="N585" s="791" t="s">
        <v>1855</v>
      </c>
      <c r="O585" s="791" t="s">
        <v>3999</v>
      </c>
      <c r="Q585" s="288" t="str">
        <f>IFERROR(VLOOKUP(ROWS($Q$3:Q585),$M$3:$N$718,2,0),"")</f>
        <v>Výroba ostatních pletených a háčkovaných oděvů</v>
      </c>
      <c r="R585">
        <f>IF(ISNUMBER(SEARCH('1Př1'!$A$32,N585)),MAX($M$2:M584)+1,0)</f>
        <v>583</v>
      </c>
      <c r="S585" s="287" t="s">
        <v>2006</v>
      </c>
      <c r="T585" t="str">
        <f>IFERROR(VLOOKUP(ROWS($T$3:T585),$R$3:$S$718,2,0),"")</f>
        <v>Výroba plynu</v>
      </c>
      <c r="U585">
        <f>IF(ISNUMBER(SEARCH('1Př1'!$A$33,N585)),MAX($M$2:M584)+1,0)</f>
        <v>583</v>
      </c>
      <c r="V585" s="287" t="s">
        <v>2006</v>
      </c>
      <c r="W585" t="str">
        <f>IFERROR(VLOOKUP(ROWS($W$3:W585),$U$3:$V$718,2,0),"")</f>
        <v>Výroba plynu</v>
      </c>
      <c r="X585">
        <f>IF(ISNUMBER(SEARCH('1Př1'!$A$34,N585)),MAX($M$2:M584)+1,0)</f>
        <v>583</v>
      </c>
      <c r="Y585" s="287" t="s">
        <v>2006</v>
      </c>
      <c r="Z585" t="str">
        <f>IFERROR(VLOOKUP(ROWS($Z$3:Z585),$X$3:$Y$718,2,0),"")</f>
        <v>Výroba plynu</v>
      </c>
    </row>
    <row r="586" spans="13:26">
      <c r="M586" s="286">
        <f>IF(ISNUMBER(SEARCH(ZAKL_DATA!$B$29,N586)),MAX($M$2:M585)+1,0)</f>
        <v>584</v>
      </c>
      <c r="N586" s="791" t="s">
        <v>1832</v>
      </c>
      <c r="O586" s="791" t="s">
        <v>4000</v>
      </c>
      <c r="Q586" s="288" t="str">
        <f>IFERROR(VLOOKUP(ROWS($Q$3:Q586),$M$3:$N$718,2,0),"")</f>
        <v>Výroba ostatních potravinářských výrobků j. n.</v>
      </c>
      <c r="R586">
        <f>IF(ISNUMBER(SEARCH('1Př1'!$A$32,N586)),MAX($M$2:M585)+1,0)</f>
        <v>584</v>
      </c>
      <c r="S586" s="287" t="s">
        <v>2007</v>
      </c>
      <c r="T586" t="str">
        <f>IFERROR(VLOOKUP(ROWS($T$3:T586),$R$3:$S$718,2,0),"")</f>
        <v>Rozvod plynných paliv prostřednictvím sítí</v>
      </c>
      <c r="U586">
        <f>IF(ISNUMBER(SEARCH('1Př1'!$A$33,N586)),MAX($M$2:M585)+1,0)</f>
        <v>584</v>
      </c>
      <c r="V586" s="287" t="s">
        <v>2007</v>
      </c>
      <c r="W586" t="str">
        <f>IFERROR(VLOOKUP(ROWS($W$3:W586),$U$3:$V$718,2,0),"")</f>
        <v>Rozvod plynných paliv prostřednictvím sítí</v>
      </c>
      <c r="X586">
        <f>IF(ISNUMBER(SEARCH('1Př1'!$A$34,N586)),MAX($M$2:M585)+1,0)</f>
        <v>584</v>
      </c>
      <c r="Y586" s="287" t="s">
        <v>2007</v>
      </c>
      <c r="Z586" t="str">
        <f>IFERROR(VLOOKUP(ROWS($Z$3:Z586),$X$3:$Y$718,2,0),"")</f>
        <v>Rozvod plynných paliv prostřednictvím sítí</v>
      </c>
    </row>
    <row r="587" spans="13:26">
      <c r="M587" s="286">
        <f>IF(ISNUMBER(SEARCH(ZAKL_DATA!$B$29,N587)),MAX($M$2:M586)+1,0)</f>
        <v>585</v>
      </c>
      <c r="N587" s="791" t="s">
        <v>1961</v>
      </c>
      <c r="O587" s="791" t="s">
        <v>4001</v>
      </c>
      <c r="Q587" s="288" t="str">
        <f>IFERROR(VLOOKUP(ROWS($Q$3:Q587),$M$3:$N$718,2,0),"")</f>
        <v>Výroba ostatních potrubních armatur</v>
      </c>
      <c r="R587">
        <f>IF(ISNUMBER(SEARCH('1Př1'!$A$32,N587)),MAX($M$2:M586)+1,0)</f>
        <v>585</v>
      </c>
      <c r="S587" s="287" t="s">
        <v>2008</v>
      </c>
      <c r="T587" t="str">
        <f>IFERROR(VLOOKUP(ROWS($T$3:T587),$R$3:$S$718,2,0),"")</f>
        <v>Obchod s plynem prostřednictvím sítí</v>
      </c>
      <c r="U587">
        <f>IF(ISNUMBER(SEARCH('1Př1'!$A$33,N587)),MAX($M$2:M586)+1,0)</f>
        <v>585</v>
      </c>
      <c r="V587" s="287" t="s">
        <v>2008</v>
      </c>
      <c r="W587" t="str">
        <f>IFERROR(VLOOKUP(ROWS($W$3:W587),$U$3:$V$718,2,0),"")</f>
        <v>Obchod s plynem prostřednictvím sítí</v>
      </c>
      <c r="X587">
        <f>IF(ISNUMBER(SEARCH('1Př1'!$A$34,N587)),MAX($M$2:M586)+1,0)</f>
        <v>585</v>
      </c>
      <c r="Y587" s="287" t="s">
        <v>2008</v>
      </c>
      <c r="Z587" t="str">
        <f>IFERROR(VLOOKUP(ROWS($Z$3:Z587),$X$3:$Y$718,2,0),"")</f>
        <v>Obchod s plynem prostřednictvím sítí</v>
      </c>
    </row>
    <row r="588" spans="13:26">
      <c r="M588" s="286">
        <f>IF(ISNUMBER(SEARCH(ZAKL_DATA!$B$29,N588)),MAX($M$2:M587)+1,0)</f>
        <v>586</v>
      </c>
      <c r="N588" s="791" t="s">
        <v>1892</v>
      </c>
      <c r="O588" s="791" t="s">
        <v>4002</v>
      </c>
      <c r="Q588" s="288" t="str">
        <f>IFERROR(VLOOKUP(ROWS($Q$3:Q588),$M$3:$N$718,2,0),"")</f>
        <v>Výroba ostatních pryžových výrobků</v>
      </c>
      <c r="R588">
        <f>IF(ISNUMBER(SEARCH('1Př1'!$A$32,N588)),MAX($M$2:M587)+1,0)</f>
        <v>586</v>
      </c>
      <c r="S588" s="287" t="s">
        <v>2009</v>
      </c>
      <c r="T588" t="str">
        <f>IFERROR(VLOOKUP(ROWS($T$3:T588),$R$3:$S$718,2,0),"")</f>
        <v>Shromažďování a sběr odpadů, kromě nebezpečných</v>
      </c>
      <c r="U588">
        <f>IF(ISNUMBER(SEARCH('1Př1'!$A$33,N588)),MAX($M$2:M587)+1,0)</f>
        <v>586</v>
      </c>
      <c r="V588" s="287" t="s">
        <v>2009</v>
      </c>
      <c r="W588" t="str">
        <f>IFERROR(VLOOKUP(ROWS($W$3:W588),$U$3:$V$718,2,0),"")</f>
        <v>Shromažďování a sběr odpadů, kromě nebezpečných</v>
      </c>
      <c r="X588">
        <f>IF(ISNUMBER(SEARCH('1Př1'!$A$34,N588)),MAX($M$2:M587)+1,0)</f>
        <v>586</v>
      </c>
      <c r="Y588" s="287" t="s">
        <v>2009</v>
      </c>
      <c r="Z588" t="str">
        <f>IFERROR(VLOOKUP(ROWS($Z$3:Z588),$X$3:$Y$718,2,0),"")</f>
        <v>Shromažďování a sběr odpadů, kromě nebezpečných</v>
      </c>
    </row>
    <row r="589" spans="13:26" ht="25.5">
      <c r="M589" s="286">
        <f>IF(ISNUMBER(SEARCH(ZAKL_DATA!$B$29,N589)),MAX($M$2:M588)+1,0)</f>
        <v>587</v>
      </c>
      <c r="N589" s="791" t="s">
        <v>1968</v>
      </c>
      <c r="O589" s="791" t="s">
        <v>4003</v>
      </c>
      <c r="Q589" s="288" t="str">
        <f>IFERROR(VLOOKUP(ROWS($Q$3:Q589),$M$3:$N$718,2,0),"")</f>
        <v>Výroba ostatních strojů a zařízení pro všeobecné účely j. n.</v>
      </c>
      <c r="R589">
        <f>IF(ISNUMBER(SEARCH('1Př1'!$A$32,N589)),MAX($M$2:M588)+1,0)</f>
        <v>587</v>
      </c>
      <c r="S589" s="287" t="s">
        <v>2010</v>
      </c>
      <c r="T589" t="str">
        <f>IFERROR(VLOOKUP(ROWS($T$3:T589),$R$3:$S$718,2,0),"")</f>
        <v>Shromažďování a sběr nebezpečných odpadů</v>
      </c>
      <c r="U589">
        <f>IF(ISNUMBER(SEARCH('1Př1'!$A$33,N589)),MAX($M$2:M588)+1,0)</f>
        <v>587</v>
      </c>
      <c r="V589" s="287" t="s">
        <v>2010</v>
      </c>
      <c r="W589" t="str">
        <f>IFERROR(VLOOKUP(ROWS($W$3:W589),$U$3:$V$718,2,0),"")</f>
        <v>Shromažďování a sběr nebezpečných odpadů</v>
      </c>
      <c r="X589">
        <f>IF(ISNUMBER(SEARCH('1Př1'!$A$34,N589)),MAX($M$2:M588)+1,0)</f>
        <v>587</v>
      </c>
      <c r="Y589" s="287" t="s">
        <v>2010</v>
      </c>
      <c r="Z589" t="str">
        <f>IFERROR(VLOOKUP(ROWS($Z$3:Z589),$X$3:$Y$718,2,0),"")</f>
        <v>Shromažďování a sběr nebezpečných odpadů</v>
      </c>
    </row>
    <row r="590" spans="13:26">
      <c r="M590" s="286">
        <f>IF(ISNUMBER(SEARCH(ZAKL_DATA!$B$29,N590)),MAX($M$2:M589)+1,0)</f>
        <v>588</v>
      </c>
      <c r="N590" s="791" t="s">
        <v>1977</v>
      </c>
      <c r="O590" s="791" t="s">
        <v>4004</v>
      </c>
      <c r="Q590" s="288" t="str">
        <f>IFERROR(VLOOKUP(ROWS($Q$3:Q590),$M$3:$N$718,2,0),"")</f>
        <v>Výroba ostatních strojů pro speciální účely j. n.</v>
      </c>
      <c r="R590">
        <f>IF(ISNUMBER(SEARCH('1Př1'!$A$32,N590)),MAX($M$2:M589)+1,0)</f>
        <v>588</v>
      </c>
      <c r="S590" s="287" t="s">
        <v>2011</v>
      </c>
      <c r="T590" t="str">
        <f>IFERROR(VLOOKUP(ROWS($T$3:T590),$R$3:$S$718,2,0),"")</f>
        <v>Odstraňování odpadů, kromě nebezpečných</v>
      </c>
      <c r="U590">
        <f>IF(ISNUMBER(SEARCH('1Př1'!$A$33,N590)),MAX($M$2:M589)+1,0)</f>
        <v>588</v>
      </c>
      <c r="V590" s="287" t="s">
        <v>2011</v>
      </c>
      <c r="W590" t="str">
        <f>IFERROR(VLOOKUP(ROWS($W$3:W590),$U$3:$V$718,2,0),"")</f>
        <v>Odstraňování odpadů, kromě nebezpečných</v>
      </c>
      <c r="X590">
        <f>IF(ISNUMBER(SEARCH('1Př1'!$A$34,N590)),MAX($M$2:M589)+1,0)</f>
        <v>588</v>
      </c>
      <c r="Y590" s="287" t="s">
        <v>2011</v>
      </c>
      <c r="Z590" t="str">
        <f>IFERROR(VLOOKUP(ROWS($Z$3:Z590),$X$3:$Y$718,2,0),"")</f>
        <v>Odstraňování odpadů, kromě nebezpečných</v>
      </c>
    </row>
    <row r="591" spans="13:26" ht="25.5">
      <c r="M591" s="286">
        <f>IF(ISNUMBER(SEARCH(ZAKL_DATA!$B$29,N591)),MAX($M$2:M590)+1,0)</f>
        <v>589</v>
      </c>
      <c r="N591" s="791" t="s">
        <v>1847</v>
      </c>
      <c r="O591" s="791" t="s">
        <v>4005</v>
      </c>
      <c r="Q591" s="288" t="str">
        <f>IFERROR(VLOOKUP(ROWS($Q$3:Q591),$M$3:$N$718,2,0),"")</f>
        <v>Výroba ostatních technických a průmyslových textilií</v>
      </c>
      <c r="R591">
        <f>IF(ISNUMBER(SEARCH('1Př1'!$A$32,N591)),MAX($M$2:M590)+1,0)</f>
        <v>589</v>
      </c>
      <c r="S591" s="287" t="s">
        <v>2012</v>
      </c>
      <c r="T591" t="str">
        <f>IFERROR(VLOOKUP(ROWS($T$3:T591),$R$3:$S$718,2,0),"")</f>
        <v>Odstraňování nebezpečných odpadů</v>
      </c>
      <c r="U591">
        <f>IF(ISNUMBER(SEARCH('1Př1'!$A$33,N591)),MAX($M$2:M590)+1,0)</f>
        <v>589</v>
      </c>
      <c r="V591" s="287" t="s">
        <v>2012</v>
      </c>
      <c r="W591" t="str">
        <f>IFERROR(VLOOKUP(ROWS($W$3:W591),$U$3:$V$718,2,0),"")</f>
        <v>Odstraňování nebezpečných odpadů</v>
      </c>
      <c r="X591">
        <f>IF(ISNUMBER(SEARCH('1Př1'!$A$34,N591)),MAX($M$2:M590)+1,0)</f>
        <v>589</v>
      </c>
      <c r="Y591" s="287" t="s">
        <v>2012</v>
      </c>
      <c r="Z591" t="str">
        <f>IFERROR(VLOOKUP(ROWS($Z$3:Z591),$X$3:$Y$718,2,0),"")</f>
        <v>Odstraňování nebezpečných odpadů</v>
      </c>
    </row>
    <row r="592" spans="13:26">
      <c r="M592" s="286">
        <f>IF(ISNUMBER(SEARCH(ZAKL_DATA!$B$29,N592)),MAX($M$2:M591)+1,0)</f>
        <v>590</v>
      </c>
      <c r="N592" s="791" t="s">
        <v>1907</v>
      </c>
      <c r="O592" s="791" t="s">
        <v>4006</v>
      </c>
      <c r="Q592" s="288" t="str">
        <f>IFERROR(VLOOKUP(ROWS($Q$3:Q592),$M$3:$N$718,2,0),"")</f>
        <v>Výroba ostatních technických keramických výrobků</v>
      </c>
      <c r="R592">
        <f>IF(ISNUMBER(SEARCH('1Př1'!$A$32,N592)),MAX($M$2:M591)+1,0)</f>
        <v>590</v>
      </c>
      <c r="S592" s="287" t="s">
        <v>2013</v>
      </c>
      <c r="T592" t="str">
        <f>IFERROR(VLOOKUP(ROWS($T$3:T592),$R$3:$S$718,2,0),"")</f>
        <v>Demontáž vraků a vyřazených strojů a zařízení pro účely recyklace</v>
      </c>
      <c r="U592">
        <f>IF(ISNUMBER(SEARCH('1Př1'!$A$33,N592)),MAX($M$2:M591)+1,0)</f>
        <v>590</v>
      </c>
      <c r="V592" s="287" t="s">
        <v>2013</v>
      </c>
      <c r="W592" t="str">
        <f>IFERROR(VLOOKUP(ROWS($W$3:W592),$U$3:$V$718,2,0),"")</f>
        <v>Demontáž vraků a vyřazených strojů a zařízení pro účely recyklace</v>
      </c>
      <c r="X592">
        <f>IF(ISNUMBER(SEARCH('1Př1'!$A$34,N592)),MAX($M$2:M591)+1,0)</f>
        <v>590</v>
      </c>
      <c r="Y592" s="287" t="s">
        <v>2013</v>
      </c>
      <c r="Z592" t="str">
        <f>IFERROR(VLOOKUP(ROWS($Z$3:Z592),$X$3:$Y$718,2,0),"")</f>
        <v>Demontáž vraků a vyřazených strojů a zařízení pro účely recyklace</v>
      </c>
    </row>
    <row r="593" spans="13:26">
      <c r="M593" s="286">
        <f>IF(ISNUMBER(SEARCH(ZAKL_DATA!$B$29,N593)),MAX($M$2:M592)+1,0)</f>
        <v>591</v>
      </c>
      <c r="N593" s="791" t="s">
        <v>1848</v>
      </c>
      <c r="O593" s="791" t="s">
        <v>4007</v>
      </c>
      <c r="Q593" s="288" t="str">
        <f>IFERROR(VLOOKUP(ROWS($Q$3:Q593),$M$3:$N$718,2,0),"")</f>
        <v>Výroba ostatních textilií j. n.</v>
      </c>
      <c r="R593">
        <f>IF(ISNUMBER(SEARCH('1Př1'!$A$32,N593)),MAX($M$2:M592)+1,0)</f>
        <v>591</v>
      </c>
      <c r="S593" s="287" t="s">
        <v>2014</v>
      </c>
      <c r="T593" t="str">
        <f>IFERROR(VLOOKUP(ROWS($T$3:T593),$R$3:$S$718,2,0),"")</f>
        <v>Úprava odpadů k dalšímu využití,kromě demontáže vraků,strojů a zařízení</v>
      </c>
      <c r="U593">
        <f>IF(ISNUMBER(SEARCH('1Př1'!$A$33,N593)),MAX($M$2:M592)+1,0)</f>
        <v>591</v>
      </c>
      <c r="V593" s="287" t="s">
        <v>2014</v>
      </c>
      <c r="W593" t="str">
        <f>IFERROR(VLOOKUP(ROWS($W$3:W593),$U$3:$V$718,2,0),"")</f>
        <v>Úprava odpadů k dalšímu využití,kromě demontáže vraků,strojů a zařízení</v>
      </c>
      <c r="X593">
        <f>IF(ISNUMBER(SEARCH('1Př1'!$A$34,N593)),MAX($M$2:M592)+1,0)</f>
        <v>591</v>
      </c>
      <c r="Y593" s="287" t="s">
        <v>2014</v>
      </c>
      <c r="Z593" t="str">
        <f>IFERROR(VLOOKUP(ROWS($Z$3:Z593),$X$3:$Y$718,2,0),"")</f>
        <v>Úprava odpadů k dalšímu využití,kromě demontáže vraků,strojů a zařízení</v>
      </c>
    </row>
    <row r="594" spans="13:26" ht="25.5">
      <c r="M594" s="286">
        <f>IF(ISNUMBER(SEARCH(ZAKL_DATA!$B$29,N594)),MAX($M$2:M593)+1,0)</f>
        <v>592</v>
      </c>
      <c r="N594" s="791" t="s">
        <v>1864</v>
      </c>
      <c r="O594" s="791" t="s">
        <v>4008</v>
      </c>
      <c r="Q594" s="288" t="str">
        <f>IFERROR(VLOOKUP(ROWS($Q$3:Q594),$M$3:$N$718,2,0),"")</f>
        <v>Výroba ostatních výrobků stavebního truhlářství a tesařství</v>
      </c>
      <c r="R594">
        <f>IF(ISNUMBER(SEARCH('1Př1'!$A$32,N594)),MAX($M$2:M593)+1,0)</f>
        <v>592</v>
      </c>
      <c r="S594" s="287" t="s">
        <v>2015</v>
      </c>
      <c r="T594" t="str">
        <f>IFERROR(VLOOKUP(ROWS($T$3:T594),$R$3:$S$718,2,0),"")</f>
        <v>Výstavba bytových budov</v>
      </c>
      <c r="U594">
        <f>IF(ISNUMBER(SEARCH('1Př1'!$A$33,N594)),MAX($M$2:M593)+1,0)</f>
        <v>592</v>
      </c>
      <c r="V594" s="287" t="s">
        <v>2015</v>
      </c>
      <c r="W594" t="str">
        <f>IFERROR(VLOOKUP(ROWS($W$3:W594),$U$3:$V$718,2,0),"")</f>
        <v>Výstavba bytových budov</v>
      </c>
      <c r="X594">
        <f>IF(ISNUMBER(SEARCH('1Př1'!$A$34,N594)),MAX($M$2:M593)+1,0)</f>
        <v>592</v>
      </c>
      <c r="Y594" s="287" t="s">
        <v>2015</v>
      </c>
      <c r="Z594" t="str">
        <f>IFERROR(VLOOKUP(ROWS($Z$3:Z594),$X$3:$Y$718,2,0),"")</f>
        <v>Výstavba bytových budov</v>
      </c>
    </row>
    <row r="595" spans="13:26">
      <c r="M595" s="286">
        <f>IF(ISNUMBER(SEARCH(ZAKL_DATA!$B$29,N595)),MAX($M$2:M594)+1,0)</f>
        <v>593</v>
      </c>
      <c r="N595" s="791" t="s">
        <v>1873</v>
      </c>
      <c r="O595" s="791" t="s">
        <v>4009</v>
      </c>
      <c r="Q595" s="288" t="str">
        <f>IFERROR(VLOOKUP(ROWS($Q$3:Q595),$M$3:$N$718,2,0),"")</f>
        <v>Výroba ostatních výrobků z papíru a lepenky</v>
      </c>
      <c r="R595">
        <f>IF(ISNUMBER(SEARCH('1Př1'!$A$32,N595)),MAX($M$2:M594)+1,0)</f>
        <v>593</v>
      </c>
      <c r="S595" s="287" t="s">
        <v>2016</v>
      </c>
      <c r="T595" t="str">
        <f>IFERROR(VLOOKUP(ROWS($T$3:T595),$R$3:$S$718,2,0),"")</f>
        <v>Výstavba silnic a dálnic</v>
      </c>
      <c r="U595">
        <f>IF(ISNUMBER(SEARCH('1Př1'!$A$33,N595)),MAX($M$2:M594)+1,0)</f>
        <v>593</v>
      </c>
      <c r="V595" s="287" t="s">
        <v>2016</v>
      </c>
      <c r="W595" t="str">
        <f>IFERROR(VLOOKUP(ROWS($W$3:W595),$U$3:$V$718,2,0),"")</f>
        <v>Výstavba silnic a dálnic</v>
      </c>
      <c r="X595">
        <f>IF(ISNUMBER(SEARCH('1Př1'!$A$34,N595)),MAX($M$2:M594)+1,0)</f>
        <v>593</v>
      </c>
      <c r="Y595" s="287" t="s">
        <v>2016</v>
      </c>
      <c r="Z595" t="str">
        <f>IFERROR(VLOOKUP(ROWS($Z$3:Z595),$X$3:$Y$718,2,0),"")</f>
        <v>Výstavba silnic a dálnic</v>
      </c>
    </row>
    <row r="596" spans="13:26">
      <c r="M596" s="286">
        <f>IF(ISNUMBER(SEARCH(ZAKL_DATA!$B$29,N596)),MAX($M$2:M595)+1,0)</f>
        <v>594</v>
      </c>
      <c r="N596" s="791" t="s">
        <v>4010</v>
      </c>
      <c r="O596" s="791" t="s">
        <v>4011</v>
      </c>
      <c r="Q596" s="288" t="str">
        <f>IFERROR(VLOOKUP(ROWS($Q$3:Q596),$M$3:$N$718,2,0),"")</f>
        <v>Výroba osvětlovacích zařízení</v>
      </c>
      <c r="R596">
        <f>IF(ISNUMBER(SEARCH('1Př1'!$A$32,N596)),MAX($M$2:M595)+1,0)</f>
        <v>594</v>
      </c>
      <c r="S596" s="287" t="s">
        <v>2017</v>
      </c>
      <c r="T596" t="str">
        <f>IFERROR(VLOOKUP(ROWS($T$3:T596),$R$3:$S$718,2,0),"")</f>
        <v>Výstavba železnic a podzemních drah</v>
      </c>
      <c r="U596">
        <f>IF(ISNUMBER(SEARCH('1Př1'!$A$33,N596)),MAX($M$2:M595)+1,0)</f>
        <v>594</v>
      </c>
      <c r="V596" s="287" t="s">
        <v>2017</v>
      </c>
      <c r="W596" t="str">
        <f>IFERROR(VLOOKUP(ROWS($W$3:W596),$U$3:$V$718,2,0),"")</f>
        <v>Výstavba železnic a podzemních drah</v>
      </c>
      <c r="X596">
        <f>IF(ISNUMBER(SEARCH('1Př1'!$A$34,N596)),MAX($M$2:M595)+1,0)</f>
        <v>594</v>
      </c>
      <c r="Y596" s="287" t="s">
        <v>2017</v>
      </c>
      <c r="Z596" t="str">
        <f>IFERROR(VLOOKUP(ROWS($Z$3:Z596),$X$3:$Y$718,2,0),"")</f>
        <v>Výstavba železnic a podzemních drah</v>
      </c>
    </row>
    <row r="597" spans="13:26">
      <c r="M597" s="286">
        <f>IF(ISNUMBER(SEARCH(ZAKL_DATA!$B$29,N597)),MAX($M$2:M596)+1,0)</f>
        <v>595</v>
      </c>
      <c r="N597" s="791" t="s">
        <v>1815</v>
      </c>
      <c r="O597" s="791" t="s">
        <v>4012</v>
      </c>
      <c r="Q597" s="288" t="str">
        <f>IFERROR(VLOOKUP(ROWS($Q$3:Q597),$M$3:$N$718,2,0),"")</f>
        <v>Výroba ovocných a zeleninových šťáv</v>
      </c>
      <c r="R597">
        <f>IF(ISNUMBER(SEARCH('1Př1'!$A$32,N597)),MAX($M$2:M596)+1,0)</f>
        <v>595</v>
      </c>
      <c r="S597" s="287" t="s">
        <v>2018</v>
      </c>
      <c r="T597" t="str">
        <f>IFERROR(VLOOKUP(ROWS($T$3:T597),$R$3:$S$718,2,0),"")</f>
        <v>Výstavba mostů a tunelů</v>
      </c>
      <c r="U597">
        <f>IF(ISNUMBER(SEARCH('1Př1'!$A$33,N597)),MAX($M$2:M596)+1,0)</f>
        <v>595</v>
      </c>
      <c r="V597" s="287" t="s">
        <v>2018</v>
      </c>
      <c r="W597" t="str">
        <f>IFERROR(VLOOKUP(ROWS($W$3:W597),$U$3:$V$718,2,0),"")</f>
        <v>Výstavba mostů a tunelů</v>
      </c>
      <c r="X597">
        <f>IF(ISNUMBER(SEARCH('1Př1'!$A$34,N597)),MAX($M$2:M596)+1,0)</f>
        <v>595</v>
      </c>
      <c r="Y597" s="287" t="s">
        <v>2018</v>
      </c>
      <c r="Z597" t="str">
        <f>IFERROR(VLOOKUP(ROWS($Z$3:Z597),$X$3:$Y$718,2,0),"")</f>
        <v>Výstavba mostů a tunelů</v>
      </c>
    </row>
    <row r="598" spans="13:26" ht="25.5">
      <c r="M598" s="286">
        <f>IF(ISNUMBER(SEARCH(ZAKL_DATA!$B$29,N598)),MAX($M$2:M597)+1,0)</f>
        <v>596</v>
      </c>
      <c r="N598" s="791" t="s">
        <v>1528</v>
      </c>
      <c r="O598" s="791" t="s">
        <v>4013</v>
      </c>
      <c r="Q598" s="288" t="str">
        <f>IFERROR(VLOOKUP(ROWS($Q$3:Q598),$M$3:$N$718,2,0),"")</f>
        <v>Výroba ozařovacích, elektroléčebných a elektroterapeutických přístrojů</v>
      </c>
      <c r="R598">
        <f>IF(ISNUMBER(SEARCH('1Př1'!$A$32,N598)),MAX($M$2:M597)+1,0)</f>
        <v>596</v>
      </c>
      <c r="S598" s="287" t="s">
        <v>2019</v>
      </c>
      <c r="T598" t="str">
        <f>IFERROR(VLOOKUP(ROWS($T$3:T598),$R$3:$S$718,2,0),"")</f>
        <v>Výstavba inženýrských sítí pro kapaliny a plyny</v>
      </c>
      <c r="U598">
        <f>IF(ISNUMBER(SEARCH('1Př1'!$A$33,N598)),MAX($M$2:M597)+1,0)</f>
        <v>596</v>
      </c>
      <c r="V598" s="287" t="s">
        <v>2019</v>
      </c>
      <c r="W598" t="str">
        <f>IFERROR(VLOOKUP(ROWS($W$3:W598),$U$3:$V$718,2,0),"")</f>
        <v>Výstavba inženýrských sítí pro kapaliny a plyny</v>
      </c>
      <c r="X598">
        <f>IF(ISNUMBER(SEARCH('1Př1'!$A$34,N598)),MAX($M$2:M597)+1,0)</f>
        <v>596</v>
      </c>
      <c r="Y598" s="287" t="s">
        <v>2019</v>
      </c>
      <c r="Z598" t="str">
        <f>IFERROR(VLOOKUP(ROWS($Z$3:Z598),$X$3:$Y$718,2,0),"")</f>
        <v>Výstavba inženýrských sítí pro kapaliny a plyny</v>
      </c>
    </row>
    <row r="599" spans="13:26" ht="25.5">
      <c r="M599" s="286">
        <f>IF(ISNUMBER(SEARCH(ZAKL_DATA!$B$29,N599)),MAX($M$2:M598)+1,0)</f>
        <v>597</v>
      </c>
      <c r="N599" s="791" t="s">
        <v>1903</v>
      </c>
      <c r="O599" s="791" t="s">
        <v>4014</v>
      </c>
      <c r="Q599" s="288" t="str">
        <f>IFERROR(VLOOKUP(ROWS($Q$3:Q599),$M$3:$N$718,2,0),"")</f>
        <v>Výroba pálených zdicích materiálů, tašek, dlaždic a podobných výrobků</v>
      </c>
      <c r="R599">
        <f>IF(ISNUMBER(SEARCH('1Př1'!$A$32,N599)),MAX($M$2:M598)+1,0)</f>
        <v>597</v>
      </c>
      <c r="S599" s="287" t="s">
        <v>2020</v>
      </c>
      <c r="T599" t="str">
        <f>IFERROR(VLOOKUP(ROWS($T$3:T599),$R$3:$S$718,2,0),"")</f>
        <v>Výstavba inženýrských sítí pro elektřinu a telekomunikace</v>
      </c>
      <c r="U599">
        <f>IF(ISNUMBER(SEARCH('1Př1'!$A$33,N599)),MAX($M$2:M598)+1,0)</f>
        <v>597</v>
      </c>
      <c r="V599" s="287" t="s">
        <v>2020</v>
      </c>
      <c r="W599" t="str">
        <f>IFERROR(VLOOKUP(ROWS($W$3:W599),$U$3:$V$718,2,0),"")</f>
        <v>Výstavba inženýrských sítí pro elektřinu a telekomunikace</v>
      </c>
      <c r="X599">
        <f>IF(ISNUMBER(SEARCH('1Př1'!$A$34,N599)),MAX($M$2:M598)+1,0)</f>
        <v>597</v>
      </c>
      <c r="Y599" s="287" t="s">
        <v>2020</v>
      </c>
      <c r="Z599" t="str">
        <f>IFERROR(VLOOKUP(ROWS($Z$3:Z599),$X$3:$Y$718,2,0),"")</f>
        <v>Výstavba inženýrských sítí pro elektřinu a telekomunikace</v>
      </c>
    </row>
    <row r="600" spans="13:26">
      <c r="M600" s="286">
        <f>IF(ISNUMBER(SEARCH(ZAKL_DATA!$B$29,N600)),MAX($M$2:M599)+1,0)</f>
        <v>598</v>
      </c>
      <c r="N600" s="791" t="s">
        <v>1868</v>
      </c>
      <c r="O600" s="791" t="s">
        <v>4015</v>
      </c>
      <c r="Q600" s="288" t="str">
        <f>IFERROR(VLOOKUP(ROWS($Q$3:Q600),$M$3:$N$718,2,0),"")</f>
        <v>Výroba papíru a lepenky</v>
      </c>
      <c r="R600">
        <f>IF(ISNUMBER(SEARCH('1Př1'!$A$32,N600)),MAX($M$2:M599)+1,0)</f>
        <v>598</v>
      </c>
      <c r="S600" s="287" t="s">
        <v>2021</v>
      </c>
      <c r="T600" t="str">
        <f>IFERROR(VLOOKUP(ROWS($T$3:T600),$R$3:$S$718,2,0),"")</f>
        <v>Výstavba vodních děl</v>
      </c>
      <c r="U600">
        <f>IF(ISNUMBER(SEARCH('1Př1'!$A$33,N600)),MAX($M$2:M599)+1,0)</f>
        <v>598</v>
      </c>
      <c r="V600" s="287" t="s">
        <v>2021</v>
      </c>
      <c r="W600" t="str">
        <f>IFERROR(VLOOKUP(ROWS($W$3:W600),$U$3:$V$718,2,0),"")</f>
        <v>Výstavba vodních děl</v>
      </c>
      <c r="X600">
        <f>IF(ISNUMBER(SEARCH('1Př1'!$A$34,N600)),MAX($M$2:M599)+1,0)</f>
        <v>598</v>
      </c>
      <c r="Y600" s="287" t="s">
        <v>2021</v>
      </c>
      <c r="Z600" t="str">
        <f>IFERROR(VLOOKUP(ROWS($Z$3:Z600),$X$3:$Y$718,2,0),"")</f>
        <v>Výstavba vodních děl</v>
      </c>
    </row>
    <row r="601" spans="13:26">
      <c r="M601" s="286">
        <f>IF(ISNUMBER(SEARCH(ZAKL_DATA!$B$29,N601)),MAX($M$2:M600)+1,0)</f>
        <v>599</v>
      </c>
      <c r="N601" s="791" t="s">
        <v>1886</v>
      </c>
      <c r="O601" s="791" t="s">
        <v>4016</v>
      </c>
      <c r="Q601" s="288" t="str">
        <f>IFERROR(VLOOKUP(ROWS($Q$3:Q601),$M$3:$N$718,2,0),"")</f>
        <v>Výroba parfémů a toaletních přípravků</v>
      </c>
      <c r="R601">
        <f>IF(ISNUMBER(SEARCH('1Př1'!$A$32,N601)),MAX($M$2:M600)+1,0)</f>
        <v>599</v>
      </c>
      <c r="S601" s="287" t="s">
        <v>2022</v>
      </c>
      <c r="T601" t="str">
        <f>IFERROR(VLOOKUP(ROWS($T$3:T601),$R$3:$S$718,2,0),"")</f>
        <v>Výstavba ostatních staveb j. n.</v>
      </c>
      <c r="U601">
        <f>IF(ISNUMBER(SEARCH('1Př1'!$A$33,N601)),MAX($M$2:M600)+1,0)</f>
        <v>599</v>
      </c>
      <c r="V601" s="287" t="s">
        <v>2022</v>
      </c>
      <c r="W601" t="str">
        <f>IFERROR(VLOOKUP(ROWS($W$3:W601),$U$3:$V$718,2,0),"")</f>
        <v>Výstavba ostatních staveb j. n.</v>
      </c>
      <c r="X601">
        <f>IF(ISNUMBER(SEARCH('1Př1'!$A$34,N601)),MAX($M$2:M600)+1,0)</f>
        <v>599</v>
      </c>
      <c r="Y601" s="287" t="s">
        <v>2022</v>
      </c>
      <c r="Z601" t="str">
        <f>IFERROR(VLOOKUP(ROWS($Z$3:Z601),$X$3:$Y$718,2,0),"")</f>
        <v>Výstavba ostatních staveb j. n.</v>
      </c>
    </row>
    <row r="602" spans="13:26" ht="25.5">
      <c r="M602" s="286">
        <f>IF(ISNUMBER(SEARCH(ZAKL_DATA!$B$29,N602)),MAX($M$2:M601)+1,0)</f>
        <v>600</v>
      </c>
      <c r="N602" s="791" t="s">
        <v>4017</v>
      </c>
      <c r="O602" s="791" t="s">
        <v>4018</v>
      </c>
      <c r="Q602" s="288" t="str">
        <f>IFERROR(VLOOKUP(ROWS($Q$3:Q602),$M$3:$N$718,2,0),"")</f>
        <v>Výroba pecí, kotlů a stálých tepelných zařízení pro domácnosti</v>
      </c>
      <c r="R602">
        <f>IF(ISNUMBER(SEARCH('1Př1'!$A$32,N602)),MAX($M$2:M601)+1,0)</f>
        <v>600</v>
      </c>
      <c r="S602" s="287" t="s">
        <v>2023</v>
      </c>
      <c r="T602" t="str">
        <f>IFERROR(VLOOKUP(ROWS($T$3:T602),$R$3:$S$718,2,0),"")</f>
        <v>Demolice</v>
      </c>
      <c r="U602">
        <f>IF(ISNUMBER(SEARCH('1Př1'!$A$33,N602)),MAX($M$2:M601)+1,0)</f>
        <v>600</v>
      </c>
      <c r="V602" s="287" t="s">
        <v>2023</v>
      </c>
      <c r="W602" t="str">
        <f>IFERROR(VLOOKUP(ROWS($W$3:W602),$U$3:$V$718,2,0),"")</f>
        <v>Demolice</v>
      </c>
      <c r="X602">
        <f>IF(ISNUMBER(SEARCH('1Př1'!$A$34,N602)),MAX($M$2:M601)+1,0)</f>
        <v>600</v>
      </c>
      <c r="Y602" s="287" t="s">
        <v>2023</v>
      </c>
      <c r="Z602" t="str">
        <f>IFERROR(VLOOKUP(ROWS($Z$3:Z602),$X$3:$Y$718,2,0),"")</f>
        <v>Demolice</v>
      </c>
    </row>
    <row r="603" spans="13:26" ht="25.5">
      <c r="M603" s="286">
        <f>IF(ISNUMBER(SEARCH(ZAKL_DATA!$B$29,N603)),MAX($M$2:M602)+1,0)</f>
        <v>601</v>
      </c>
      <c r="N603" s="791" t="s">
        <v>1823</v>
      </c>
      <c r="O603" s="791" t="s">
        <v>4019</v>
      </c>
      <c r="Q603" s="288" t="str">
        <f>IFERROR(VLOOKUP(ROWS($Q$3:Q603),$M$3:$N$718,2,0),"")</f>
        <v>Výroba pekařských a cukrářských výrobků, kromě trvanlivých</v>
      </c>
      <c r="R603">
        <f>IF(ISNUMBER(SEARCH('1Př1'!$A$32,N603)),MAX($M$2:M602)+1,0)</f>
        <v>601</v>
      </c>
      <c r="S603" s="287" t="s">
        <v>2024</v>
      </c>
      <c r="T603" t="str">
        <f>IFERROR(VLOOKUP(ROWS($T$3:T603),$R$3:$S$718,2,0),"")</f>
        <v>Příprava staveniště</v>
      </c>
      <c r="U603">
        <f>IF(ISNUMBER(SEARCH('1Př1'!$A$33,N603)),MAX($M$2:M602)+1,0)</f>
        <v>601</v>
      </c>
      <c r="V603" s="287" t="s">
        <v>2024</v>
      </c>
      <c r="W603" t="str">
        <f>IFERROR(VLOOKUP(ROWS($W$3:W603),$U$3:$V$718,2,0),"")</f>
        <v>Příprava staveniště</v>
      </c>
      <c r="X603">
        <f>IF(ISNUMBER(SEARCH('1Př1'!$A$34,N603)),MAX($M$2:M602)+1,0)</f>
        <v>601</v>
      </c>
      <c r="Y603" s="287" t="s">
        <v>2024</v>
      </c>
      <c r="Z603" t="str">
        <f>IFERROR(VLOOKUP(ROWS($Z$3:Z603),$X$3:$Y$718,2,0),"")</f>
        <v>Příprava staveniště</v>
      </c>
    </row>
    <row r="604" spans="13:26" ht="25.5">
      <c r="M604" s="286">
        <f>IF(ISNUMBER(SEARCH(ZAKL_DATA!$B$29,N604)),MAX($M$2:M603)+1,0)</f>
        <v>602</v>
      </c>
      <c r="N604" s="791" t="s">
        <v>4020</v>
      </c>
      <c r="O604" s="791" t="s">
        <v>4021</v>
      </c>
      <c r="Q604" s="288" t="str">
        <f>IFERROR(VLOOKUP(ROWS($Q$3:Q604),$M$3:$N$718,2,0),"")</f>
        <v>Výroba pesticidů, dezinfekčních prostředků a jiných agrochemických přípravků</v>
      </c>
      <c r="R604">
        <f>IF(ISNUMBER(SEARCH('1Př1'!$A$32,N604)),MAX($M$2:M603)+1,0)</f>
        <v>602</v>
      </c>
      <c r="S604" s="287" t="s">
        <v>2025</v>
      </c>
      <c r="T604" t="str">
        <f>IFERROR(VLOOKUP(ROWS($T$3:T604),$R$3:$S$718,2,0),"")</f>
        <v>Průzkumné vrtné práce</v>
      </c>
      <c r="U604">
        <f>IF(ISNUMBER(SEARCH('1Př1'!$A$33,N604)),MAX($M$2:M603)+1,0)</f>
        <v>602</v>
      </c>
      <c r="V604" s="287" t="s">
        <v>2025</v>
      </c>
      <c r="W604" t="str">
        <f>IFERROR(VLOOKUP(ROWS($W$3:W604),$U$3:$V$718,2,0),"")</f>
        <v>Průzkumné vrtné práce</v>
      </c>
      <c r="X604">
        <f>IF(ISNUMBER(SEARCH('1Př1'!$A$34,N604)),MAX($M$2:M603)+1,0)</f>
        <v>602</v>
      </c>
      <c r="Y604" s="287" t="s">
        <v>2025</v>
      </c>
      <c r="Z604" t="str">
        <f>IFERROR(VLOOKUP(ROWS($Z$3:Z604),$X$3:$Y$718,2,0),"")</f>
        <v>Průzkumné vrtné práce</v>
      </c>
    </row>
    <row r="605" spans="13:26">
      <c r="M605" s="286">
        <f>IF(ISNUMBER(SEARCH(ZAKL_DATA!$B$29,N605)),MAX($M$2:M604)+1,0)</f>
        <v>603</v>
      </c>
      <c r="N605" s="791" t="s">
        <v>4022</v>
      </c>
      <c r="O605" s="791" t="s">
        <v>4023</v>
      </c>
      <c r="Q605" s="288" t="str">
        <f>IFERROR(VLOOKUP(ROWS($Q$3:Q605),$M$3:$N$718,2,0),"")</f>
        <v>Výroba pevných paliv z rostlinné biomasy</v>
      </c>
      <c r="R605">
        <f>IF(ISNUMBER(SEARCH('1Př1'!$A$32,N605)),MAX($M$2:M604)+1,0)</f>
        <v>603</v>
      </c>
      <c r="S605" s="287" t="s">
        <v>2026</v>
      </c>
      <c r="T605" t="str">
        <f>IFERROR(VLOOKUP(ROWS($T$3:T605),$R$3:$S$718,2,0),"")</f>
        <v>Elektrické instalace</v>
      </c>
      <c r="U605">
        <f>IF(ISNUMBER(SEARCH('1Př1'!$A$33,N605)),MAX($M$2:M604)+1,0)</f>
        <v>603</v>
      </c>
      <c r="V605" s="287" t="s">
        <v>2026</v>
      </c>
      <c r="W605" t="str">
        <f>IFERROR(VLOOKUP(ROWS($W$3:W605),$U$3:$V$718,2,0),"")</f>
        <v>Elektrické instalace</v>
      </c>
      <c r="X605">
        <f>IF(ISNUMBER(SEARCH('1Př1'!$A$34,N605)),MAX($M$2:M604)+1,0)</f>
        <v>603</v>
      </c>
      <c r="Y605" s="287" t="s">
        <v>2026</v>
      </c>
      <c r="Z605" t="str">
        <f>IFERROR(VLOOKUP(ROWS($Z$3:Z605),$X$3:$Y$718,2,0),"")</f>
        <v>Elektrické instalace</v>
      </c>
    </row>
    <row r="606" spans="13:26">
      <c r="M606" s="286">
        <f>IF(ISNUMBER(SEARCH(ZAKL_DATA!$B$29,N606)),MAX($M$2:M605)+1,0)</f>
        <v>604</v>
      </c>
      <c r="N606" s="791" t="s">
        <v>1839</v>
      </c>
      <c r="O606" s="791" t="s">
        <v>4024</v>
      </c>
      <c r="Q606" s="288" t="str">
        <f>IFERROR(VLOOKUP(ROWS($Q$3:Q606),$M$3:$N$718,2,0),"")</f>
        <v>Výroba piva</v>
      </c>
      <c r="R606">
        <f>IF(ISNUMBER(SEARCH('1Př1'!$A$32,N606)),MAX($M$2:M605)+1,0)</f>
        <v>604</v>
      </c>
      <c r="S606" s="287" t="s">
        <v>2027</v>
      </c>
      <c r="T606" t="str">
        <f>IFERROR(VLOOKUP(ROWS($T$3:T606),$R$3:$S$718,2,0),"")</f>
        <v>Instalace vody, odpadu, plynu, topení a klimatizace</v>
      </c>
      <c r="U606">
        <f>IF(ISNUMBER(SEARCH('1Př1'!$A$33,N606)),MAX($M$2:M605)+1,0)</f>
        <v>604</v>
      </c>
      <c r="V606" s="287" t="s">
        <v>2027</v>
      </c>
      <c r="W606" t="str">
        <f>IFERROR(VLOOKUP(ROWS($W$3:W606),$U$3:$V$718,2,0),"")</f>
        <v>Instalace vody, odpadu, plynu, topení a klimatizace</v>
      </c>
      <c r="X606">
        <f>IF(ISNUMBER(SEARCH('1Př1'!$A$34,N606)),MAX($M$2:M605)+1,0)</f>
        <v>604</v>
      </c>
      <c r="Y606" s="287" t="s">
        <v>2027</v>
      </c>
      <c r="Z606" t="str">
        <f>IFERROR(VLOOKUP(ROWS($Z$3:Z606),$X$3:$Y$718,2,0),"")</f>
        <v>Instalace vody, odpadu, plynu, topení a klimatizace</v>
      </c>
    </row>
    <row r="607" spans="13:26" ht="25.5">
      <c r="M607" s="286">
        <f>IF(ISNUMBER(SEARCH(ZAKL_DATA!$B$29,N607)),MAX($M$2:M606)+1,0)</f>
        <v>605</v>
      </c>
      <c r="N607" s="791" t="s">
        <v>1893</v>
      </c>
      <c r="O607" s="791" t="s">
        <v>4025</v>
      </c>
      <c r="Q607" s="288" t="str">
        <f>IFERROR(VLOOKUP(ROWS($Q$3:Q607),$M$3:$N$718,2,0),"")</f>
        <v>Výroba plastových desek, fólií, hadic, trubek a profilů</v>
      </c>
      <c r="R607">
        <f>IF(ISNUMBER(SEARCH('1Př1'!$A$32,N607)),MAX($M$2:M606)+1,0)</f>
        <v>605</v>
      </c>
      <c r="S607" s="287" t="s">
        <v>2028</v>
      </c>
      <c r="T607" t="str">
        <f>IFERROR(VLOOKUP(ROWS($T$3:T607),$R$3:$S$718,2,0),"")</f>
        <v>Ostatní stavební instalace</v>
      </c>
      <c r="U607">
        <f>IF(ISNUMBER(SEARCH('1Př1'!$A$33,N607)),MAX($M$2:M606)+1,0)</f>
        <v>605</v>
      </c>
      <c r="V607" s="287" t="s">
        <v>2028</v>
      </c>
      <c r="W607" t="str">
        <f>IFERROR(VLOOKUP(ROWS($W$3:W607),$U$3:$V$718,2,0),"")</f>
        <v>Ostatní stavební instalace</v>
      </c>
      <c r="X607">
        <f>IF(ISNUMBER(SEARCH('1Př1'!$A$34,N607)),MAX($M$2:M606)+1,0)</f>
        <v>605</v>
      </c>
      <c r="Y607" s="287" t="s">
        <v>2028</v>
      </c>
      <c r="Z607" t="str">
        <f>IFERROR(VLOOKUP(ROWS($Z$3:Z607),$X$3:$Y$718,2,0),"")</f>
        <v>Ostatní stavební instalace</v>
      </c>
    </row>
    <row r="608" spans="13:26">
      <c r="M608" s="286">
        <f>IF(ISNUMBER(SEARCH(ZAKL_DATA!$B$29,N608)),MAX($M$2:M607)+1,0)</f>
        <v>606</v>
      </c>
      <c r="N608" s="791" t="s">
        <v>4026</v>
      </c>
      <c r="O608" s="791" t="s">
        <v>4027</v>
      </c>
      <c r="Q608" s="288" t="str">
        <f>IFERROR(VLOOKUP(ROWS($Q$3:Q608),$M$3:$N$718,2,0),"")</f>
        <v>Výroba plastových dveří a oken</v>
      </c>
      <c r="R608">
        <f>IF(ISNUMBER(SEARCH('1Př1'!$A$32,N608)),MAX($M$2:M607)+1,0)</f>
        <v>606</v>
      </c>
      <c r="S608" s="287" t="s">
        <v>2029</v>
      </c>
      <c r="T608" t="str">
        <f>IFERROR(VLOOKUP(ROWS($T$3:T608),$R$3:$S$718,2,0),"")</f>
        <v>Omítkářské práce</v>
      </c>
      <c r="U608">
        <f>IF(ISNUMBER(SEARCH('1Př1'!$A$33,N608)),MAX($M$2:M607)+1,0)</f>
        <v>606</v>
      </c>
      <c r="V608" s="287" t="s">
        <v>2029</v>
      </c>
      <c r="W608" t="str">
        <f>IFERROR(VLOOKUP(ROWS($W$3:W608),$U$3:$V$718,2,0),"")</f>
        <v>Omítkářské práce</v>
      </c>
      <c r="X608">
        <f>IF(ISNUMBER(SEARCH('1Př1'!$A$34,N608)),MAX($M$2:M607)+1,0)</f>
        <v>606</v>
      </c>
      <c r="Y608" s="287" t="s">
        <v>2029</v>
      </c>
      <c r="Z608" t="str">
        <f>IFERROR(VLOOKUP(ROWS($Z$3:Z608),$X$3:$Y$718,2,0),"")</f>
        <v>Omítkářské práce</v>
      </c>
    </row>
    <row r="609" spans="13:26">
      <c r="M609" s="286">
        <f>IF(ISNUMBER(SEARCH(ZAKL_DATA!$B$29,N609)),MAX($M$2:M608)+1,0)</f>
        <v>607</v>
      </c>
      <c r="N609" s="791" t="s">
        <v>1894</v>
      </c>
      <c r="O609" s="791" t="s">
        <v>4028</v>
      </c>
      <c r="Q609" s="288" t="str">
        <f>IFERROR(VLOOKUP(ROWS($Q$3:Q609),$M$3:$N$718,2,0),"")</f>
        <v>Výroba plastových obalů</v>
      </c>
      <c r="R609">
        <f>IF(ISNUMBER(SEARCH('1Př1'!$A$32,N609)),MAX($M$2:M608)+1,0)</f>
        <v>607</v>
      </c>
      <c r="S609" s="287" t="s">
        <v>2030</v>
      </c>
      <c r="T609" t="str">
        <f>IFERROR(VLOOKUP(ROWS($T$3:T609),$R$3:$S$718,2,0),"")</f>
        <v>Truhlářské práce</v>
      </c>
      <c r="U609">
        <f>IF(ISNUMBER(SEARCH('1Př1'!$A$33,N609)),MAX($M$2:M608)+1,0)</f>
        <v>607</v>
      </c>
      <c r="V609" s="287" t="s">
        <v>2030</v>
      </c>
      <c r="W609" t="str">
        <f>IFERROR(VLOOKUP(ROWS($W$3:W609),$U$3:$V$718,2,0),"")</f>
        <v>Truhlářské práce</v>
      </c>
      <c r="X609">
        <f>IF(ISNUMBER(SEARCH('1Př1'!$A$34,N609)),MAX($M$2:M608)+1,0)</f>
        <v>607</v>
      </c>
      <c r="Y609" s="287" t="s">
        <v>2030</v>
      </c>
      <c r="Z609" t="str">
        <f>IFERROR(VLOOKUP(ROWS($Z$3:Z609),$X$3:$Y$718,2,0),"")</f>
        <v>Truhlářské práce</v>
      </c>
    </row>
    <row r="610" spans="13:26">
      <c r="M610" s="286">
        <f>IF(ISNUMBER(SEARCH(ZAKL_DATA!$B$29,N610)),MAX($M$2:M609)+1,0)</f>
        <v>608</v>
      </c>
      <c r="N610" s="791" t="s">
        <v>1895</v>
      </c>
      <c r="O610" s="791" t="s">
        <v>4029</v>
      </c>
      <c r="Q610" s="288" t="str">
        <f>IFERROR(VLOOKUP(ROWS($Q$3:Q610),$M$3:$N$718,2,0),"")</f>
        <v>Výroba plastových výrobků pro stavebnictví</v>
      </c>
      <c r="R610">
        <f>IF(ISNUMBER(SEARCH('1Př1'!$A$32,N610)),MAX($M$2:M609)+1,0)</f>
        <v>608</v>
      </c>
      <c r="S610" s="287" t="s">
        <v>2031</v>
      </c>
      <c r="T610" t="str">
        <f>IFERROR(VLOOKUP(ROWS($T$3:T610),$R$3:$S$718,2,0),"")</f>
        <v>Obkládání stěn a pokládání podlahových krytin</v>
      </c>
      <c r="U610">
        <f>IF(ISNUMBER(SEARCH('1Př1'!$A$33,N610)),MAX($M$2:M609)+1,0)</f>
        <v>608</v>
      </c>
      <c r="V610" s="287" t="s">
        <v>2031</v>
      </c>
      <c r="W610" t="str">
        <f>IFERROR(VLOOKUP(ROWS($W$3:W610),$U$3:$V$718,2,0),"")</f>
        <v>Obkládání stěn a pokládání podlahových krytin</v>
      </c>
      <c r="X610">
        <f>IF(ISNUMBER(SEARCH('1Př1'!$A$34,N610)),MAX($M$2:M609)+1,0)</f>
        <v>608</v>
      </c>
      <c r="Y610" s="287" t="s">
        <v>2031</v>
      </c>
      <c r="Z610" t="str">
        <f>IFERROR(VLOOKUP(ROWS($Z$3:Z610),$X$3:$Y$718,2,0),"")</f>
        <v>Obkládání stěn a pokládání podlahových krytin</v>
      </c>
    </row>
    <row r="611" spans="13:26">
      <c r="M611" s="286">
        <f>IF(ISNUMBER(SEARCH(ZAKL_DATA!$B$29,N611)),MAX($M$2:M610)+1,0)</f>
        <v>609</v>
      </c>
      <c r="N611" s="791" t="s">
        <v>1883</v>
      </c>
      <c r="O611" s="791" t="s">
        <v>4030</v>
      </c>
      <c r="Q611" s="288" t="str">
        <f>IFERROR(VLOOKUP(ROWS($Q$3:Q611),$M$3:$N$718,2,0),"")</f>
        <v>Výroba plastů v primárních formách</v>
      </c>
      <c r="R611">
        <f>IF(ISNUMBER(SEARCH('1Př1'!$A$32,N611)),MAX($M$2:M610)+1,0)</f>
        <v>609</v>
      </c>
      <c r="S611" s="287" t="s">
        <v>2032</v>
      </c>
      <c r="T611" t="str">
        <f>IFERROR(VLOOKUP(ROWS($T$3:T611),$R$3:$S$718,2,0),"")</f>
        <v>Sklenářské, malířské a natěračské práce</v>
      </c>
      <c r="U611">
        <f>IF(ISNUMBER(SEARCH('1Př1'!$A$33,N611)),MAX($M$2:M610)+1,0)</f>
        <v>609</v>
      </c>
      <c r="V611" s="287" t="s">
        <v>2032</v>
      </c>
      <c r="W611" t="str">
        <f>IFERROR(VLOOKUP(ROWS($W$3:W611),$U$3:$V$718,2,0),"")</f>
        <v>Sklenářské, malířské a natěračské práce</v>
      </c>
      <c r="X611">
        <f>IF(ISNUMBER(SEARCH('1Př1'!$A$34,N611)),MAX($M$2:M610)+1,0)</f>
        <v>609</v>
      </c>
      <c r="Y611" s="287" t="s">
        <v>2032</v>
      </c>
      <c r="Z611" t="str">
        <f>IFERROR(VLOOKUP(ROWS($Z$3:Z611),$X$3:$Y$718,2,0),"")</f>
        <v>Sklenářské, malířské a natěračské práce</v>
      </c>
    </row>
    <row r="612" spans="13:26" ht="25.5">
      <c r="M612" s="286">
        <f>IF(ISNUMBER(SEARCH(ZAKL_DATA!$B$29,N612)),MAX($M$2:M611)+1,0)</f>
        <v>610</v>
      </c>
      <c r="N612" s="791" t="s">
        <v>1854</v>
      </c>
      <c r="O612" s="791" t="s">
        <v>4031</v>
      </c>
      <c r="Q612" s="288" t="str">
        <f>IFERROR(VLOOKUP(ROWS($Q$3:Q612),$M$3:$N$718,2,0),"")</f>
        <v>Výroba pletených a háčkovaných punčochových výrobků</v>
      </c>
      <c r="R612">
        <f>IF(ISNUMBER(SEARCH('1Př1'!$A$32,N612)),MAX($M$2:M611)+1,0)</f>
        <v>610</v>
      </c>
      <c r="S612" s="287" t="s">
        <v>2033</v>
      </c>
      <c r="T612" t="str">
        <f>IFERROR(VLOOKUP(ROWS($T$3:T612),$R$3:$S$718,2,0),"")</f>
        <v>Ostatní kompletační a dokončovací práce</v>
      </c>
      <c r="U612">
        <f>IF(ISNUMBER(SEARCH('1Př1'!$A$33,N612)),MAX($M$2:M611)+1,0)</f>
        <v>610</v>
      </c>
      <c r="V612" s="287" t="s">
        <v>2033</v>
      </c>
      <c r="W612" t="str">
        <f>IFERROR(VLOOKUP(ROWS($W$3:W612),$U$3:$V$718,2,0),"")</f>
        <v>Ostatní kompletační a dokončovací práce</v>
      </c>
      <c r="X612">
        <f>IF(ISNUMBER(SEARCH('1Př1'!$A$34,N612)),MAX($M$2:M611)+1,0)</f>
        <v>610</v>
      </c>
      <c r="Y612" s="287" t="s">
        <v>2033</v>
      </c>
      <c r="Z612" t="str">
        <f>IFERROR(VLOOKUP(ROWS($Z$3:Z612),$X$3:$Y$718,2,0),"")</f>
        <v>Ostatní kompletační a dokončovací práce</v>
      </c>
    </row>
    <row r="613" spans="13:26">
      <c r="M613" s="286">
        <f>IF(ISNUMBER(SEARCH(ZAKL_DATA!$B$29,N613)),MAX($M$2:M612)+1,0)</f>
        <v>611</v>
      </c>
      <c r="N613" s="791" t="s">
        <v>4032</v>
      </c>
      <c r="O613" s="791" t="s">
        <v>4033</v>
      </c>
      <c r="Q613" s="288" t="str">
        <f>IFERROR(VLOOKUP(ROWS($Q$3:Q613),$M$3:$N$718,2,0),"")</f>
        <v>Výroba pletených a háčkovaných textilií</v>
      </c>
      <c r="R613">
        <f>IF(ISNUMBER(SEARCH('1Př1'!$A$32,N613)),MAX($M$2:M612)+1,0)</f>
        <v>611</v>
      </c>
      <c r="S613" s="287" t="s">
        <v>2034</v>
      </c>
      <c r="T613" t="str">
        <f>IFERROR(VLOOKUP(ROWS($T$3:T613),$R$3:$S$718,2,0),"")</f>
        <v>Pokrývačské práce</v>
      </c>
      <c r="U613">
        <f>IF(ISNUMBER(SEARCH('1Př1'!$A$33,N613)),MAX($M$2:M612)+1,0)</f>
        <v>611</v>
      </c>
      <c r="V613" s="287" t="s">
        <v>2034</v>
      </c>
      <c r="W613" t="str">
        <f>IFERROR(VLOOKUP(ROWS($W$3:W613),$U$3:$V$718,2,0),"")</f>
        <v>Pokrývačské práce</v>
      </c>
      <c r="X613">
        <f>IF(ISNUMBER(SEARCH('1Př1'!$A$34,N613)),MAX($M$2:M612)+1,0)</f>
        <v>611</v>
      </c>
      <c r="Y613" s="287" t="s">
        <v>2034</v>
      </c>
      <c r="Z613" t="str">
        <f>IFERROR(VLOOKUP(ROWS($Z$3:Z613),$X$3:$Y$718,2,0),"")</f>
        <v>Pokrývačské práce</v>
      </c>
    </row>
    <row r="614" spans="13:26">
      <c r="M614" s="286">
        <f>IF(ISNUMBER(SEARCH(ZAKL_DATA!$B$29,N614)),MAX($M$2:M613)+1,0)</f>
        <v>612</v>
      </c>
      <c r="N614" s="791" t="s">
        <v>1897</v>
      </c>
      <c r="O614" s="791" t="s">
        <v>4034</v>
      </c>
      <c r="Q614" s="288" t="str">
        <f>IFERROR(VLOOKUP(ROWS($Q$3:Q614),$M$3:$N$718,2,0),"")</f>
        <v>Výroba plochého skla</v>
      </c>
      <c r="R614">
        <f>IF(ISNUMBER(SEARCH('1Př1'!$A$32,N614)),MAX($M$2:M613)+1,0)</f>
        <v>612</v>
      </c>
      <c r="S614" s="287" t="s">
        <v>2035</v>
      </c>
      <c r="T614" t="str">
        <f>IFERROR(VLOOKUP(ROWS($T$3:T614),$R$3:$S$718,2,0),"")</f>
        <v>Ostatní specializované stavební činnosti j. n.</v>
      </c>
      <c r="U614">
        <f>IF(ISNUMBER(SEARCH('1Př1'!$A$33,N614)),MAX($M$2:M613)+1,0)</f>
        <v>612</v>
      </c>
      <c r="V614" s="287" t="s">
        <v>2035</v>
      </c>
      <c r="W614" t="str">
        <f>IFERROR(VLOOKUP(ROWS($W$3:W614),$U$3:$V$718,2,0),"")</f>
        <v>Ostatní specializované stavební činnosti j. n.</v>
      </c>
      <c r="X614">
        <f>IF(ISNUMBER(SEARCH('1Př1'!$A$34,N614)),MAX($M$2:M613)+1,0)</f>
        <v>612</v>
      </c>
      <c r="Y614" s="287" t="s">
        <v>2035</v>
      </c>
      <c r="Z614" t="str">
        <f>IFERROR(VLOOKUP(ROWS($Z$3:Z614),$X$3:$Y$718,2,0),"")</f>
        <v>Ostatní specializované stavební činnosti j. n.</v>
      </c>
    </row>
    <row r="615" spans="13:26" ht="38.25">
      <c r="M615" s="286">
        <f>IF(ISNUMBER(SEARCH(ZAKL_DATA!$B$29,N615)),MAX($M$2:M614)+1,0)</f>
        <v>613</v>
      </c>
      <c r="N615" s="791" t="s">
        <v>4035</v>
      </c>
      <c r="O615" s="791" t="s">
        <v>4036</v>
      </c>
      <c r="Q615" s="288" t="str">
        <f>IFERROR(VLOOKUP(ROWS($Q$3:Q615),$M$3:$N$718,2,0),"")</f>
        <v>Výroba plochých výrobků ze železa nebo oceli válcovaných za tepla nebo za studena, kromě úzkých pásů válcovaných za studena</v>
      </c>
      <c r="R615">
        <f>IF(ISNUMBER(SEARCH('1Př1'!$A$32,N615)),MAX($M$2:M614)+1,0)</f>
        <v>613</v>
      </c>
      <c r="S615" s="287" t="s">
        <v>2036</v>
      </c>
      <c r="T615" t="str">
        <f>IFERROR(VLOOKUP(ROWS($T$3:T615),$R$3:$S$718,2,0),"")</f>
        <v>Obchod s automobily a jinými lehkými motorovými vozidly</v>
      </c>
      <c r="U615">
        <f>IF(ISNUMBER(SEARCH('1Př1'!$A$33,N615)),MAX($M$2:M614)+1,0)</f>
        <v>613</v>
      </c>
      <c r="V615" s="287" t="s">
        <v>2036</v>
      </c>
      <c r="W615" t="str">
        <f>IFERROR(VLOOKUP(ROWS($W$3:W615),$U$3:$V$718,2,0),"")</f>
        <v>Obchod s automobily a jinými lehkými motorovými vozidly</v>
      </c>
      <c r="X615">
        <f>IF(ISNUMBER(SEARCH('1Př1'!$A$34,N615)),MAX($M$2:M614)+1,0)</f>
        <v>613</v>
      </c>
      <c r="Y615" s="287" t="s">
        <v>2036</v>
      </c>
      <c r="Z615" t="str">
        <f>IFERROR(VLOOKUP(ROWS($Z$3:Z615),$X$3:$Y$718,2,0),"")</f>
        <v>Obchod s automobily a jinými lehkými motorovými vozidly</v>
      </c>
    </row>
    <row r="616" spans="13:26">
      <c r="M616" s="286">
        <f>IF(ISNUMBER(SEARCH(ZAKL_DATA!$B$29,N616)),MAX($M$2:M615)+1,0)</f>
        <v>614</v>
      </c>
      <c r="N616" s="791" t="s">
        <v>2006</v>
      </c>
      <c r="O616" s="791" t="s">
        <v>4037</v>
      </c>
      <c r="Q616" s="288" t="str">
        <f>IFERROR(VLOOKUP(ROWS($Q$3:Q616),$M$3:$N$718,2,0),"")</f>
        <v>Výroba plynu</v>
      </c>
      <c r="R616">
        <f>IF(ISNUMBER(SEARCH('1Př1'!$A$32,N616)),MAX($M$2:M615)+1,0)</f>
        <v>614</v>
      </c>
      <c r="S616" s="287" t="s">
        <v>2037</v>
      </c>
      <c r="T616" t="str">
        <f>IFERROR(VLOOKUP(ROWS($T$3:T616),$R$3:$S$718,2,0),"")</f>
        <v>Obchod s ostatními motorovými vozidly, kromě motocyklů</v>
      </c>
      <c r="U616">
        <f>IF(ISNUMBER(SEARCH('1Př1'!$A$33,N616)),MAX($M$2:M615)+1,0)</f>
        <v>614</v>
      </c>
      <c r="V616" s="287" t="s">
        <v>2037</v>
      </c>
      <c r="W616" t="str">
        <f>IFERROR(VLOOKUP(ROWS($W$3:W616),$U$3:$V$718,2,0),"")</f>
        <v>Obchod s ostatními motorovými vozidly, kromě motocyklů</v>
      </c>
      <c r="X616">
        <f>IF(ISNUMBER(SEARCH('1Př1'!$A$34,N616)),MAX($M$2:M615)+1,0)</f>
        <v>614</v>
      </c>
      <c r="Y616" s="287" t="s">
        <v>2037</v>
      </c>
      <c r="Z616" t="str">
        <f>IFERROR(VLOOKUP(ROWS($Z$3:Z616),$X$3:$Y$718,2,0),"")</f>
        <v>Obchod s ostatními motorovými vozidly, kromě motocyklů</v>
      </c>
    </row>
    <row r="617" spans="13:26">
      <c r="M617" s="286">
        <f>IF(ISNUMBER(SEARCH(ZAKL_DATA!$B$29,N617)),MAX($M$2:M616)+1,0)</f>
        <v>615</v>
      </c>
      <c r="N617" s="791" t="s">
        <v>1513</v>
      </c>
      <c r="O617" s="791" t="s">
        <v>4038</v>
      </c>
      <c r="Q617" s="288" t="str">
        <f>IFERROR(VLOOKUP(ROWS($Q$3:Q617),$M$3:$N$718,2,0),"")</f>
        <v>Výroba počítačů a periferních zařízení</v>
      </c>
      <c r="R617">
        <f>IF(ISNUMBER(SEARCH('1Př1'!$A$32,N617)),MAX($M$2:M616)+1,0)</f>
        <v>615</v>
      </c>
      <c r="S617" s="287" t="s">
        <v>2038</v>
      </c>
      <c r="T617" t="str">
        <f>IFERROR(VLOOKUP(ROWS($T$3:T617),$R$3:$S$718,2,0),"")</f>
        <v>Velkoobchod s díly a příslušenstvím pro motorová vozidla,kromě motocyklů</v>
      </c>
      <c r="U617">
        <f>IF(ISNUMBER(SEARCH('1Př1'!$A$33,N617)),MAX($M$2:M616)+1,0)</f>
        <v>615</v>
      </c>
      <c r="V617" s="287" t="s">
        <v>2038</v>
      </c>
      <c r="W617" t="str">
        <f>IFERROR(VLOOKUP(ROWS($W$3:W617),$U$3:$V$718,2,0),"")</f>
        <v>Velkoobchod s díly a příslušenstvím pro motorová vozidla,kromě motocyklů</v>
      </c>
      <c r="X617">
        <f>IF(ISNUMBER(SEARCH('1Př1'!$A$34,N617)),MAX($M$2:M616)+1,0)</f>
        <v>615</v>
      </c>
      <c r="Y617" s="287" t="s">
        <v>2038</v>
      </c>
      <c r="Z617" t="str">
        <f>IFERROR(VLOOKUP(ROWS($Z$3:Z617),$X$3:$Y$718,2,0),"")</f>
        <v>Velkoobchod s díly a příslušenstvím pro motorová vozidla,kromě motocyklů</v>
      </c>
    </row>
    <row r="618" spans="13:26" ht="25.5">
      <c r="M618" s="286">
        <f>IF(ISNUMBER(SEARCH(ZAKL_DATA!$B$29,N618)),MAX($M$2:M617)+1,0)</f>
        <v>616</v>
      </c>
      <c r="N618" s="791" t="s">
        <v>4039</v>
      </c>
      <c r="O618" s="791" t="s">
        <v>4040</v>
      </c>
      <c r="Q618" s="288" t="str">
        <f>IFERROR(VLOOKUP(ROWS($Q$3:Q618),$M$3:$N$718,2,0),"")</f>
        <v>Výroba porcelánových a keramických výrobků převážně pro domácnost a dekoračních předmětů</v>
      </c>
      <c r="R618">
        <f>IF(ISNUMBER(SEARCH('1Př1'!$A$32,N618)),MAX($M$2:M617)+1,0)</f>
        <v>616</v>
      </c>
      <c r="S618" s="287" t="s">
        <v>2039</v>
      </c>
      <c r="T618" t="str">
        <f>IFERROR(VLOOKUP(ROWS($T$3:T618),$R$3:$S$718,2,0),"")</f>
        <v>Maloobchod s díly a příslušenstvím pro motorová vozidla,kromě motocyklů</v>
      </c>
      <c r="U618">
        <f>IF(ISNUMBER(SEARCH('1Př1'!$A$33,N618)),MAX($M$2:M617)+1,0)</f>
        <v>616</v>
      </c>
      <c r="V618" s="287" t="s">
        <v>2039</v>
      </c>
      <c r="W618" t="str">
        <f>IFERROR(VLOOKUP(ROWS($W$3:W618),$U$3:$V$718,2,0),"")</f>
        <v>Maloobchod s díly a příslušenstvím pro motorová vozidla,kromě motocyklů</v>
      </c>
      <c r="X618">
        <f>IF(ISNUMBER(SEARCH('1Př1'!$A$34,N618)),MAX($M$2:M617)+1,0)</f>
        <v>616</v>
      </c>
      <c r="Y618" s="287" t="s">
        <v>2039</v>
      </c>
      <c r="Z618" t="str">
        <f>IFERROR(VLOOKUP(ROWS($Z$3:Z618),$X$3:$Y$718,2,0),"")</f>
        <v>Maloobchod s díly a příslušenstvím pro motorová vozidla,kromě motocyklů</v>
      </c>
    </row>
    <row r="619" spans="13:26">
      <c r="M619" s="286">
        <f>IF(ISNUMBER(SEARCH(ZAKL_DATA!$B$29,N619)),MAX($M$2:M618)+1,0)</f>
        <v>617</v>
      </c>
      <c r="N619" s="791" t="s">
        <v>1850</v>
      </c>
      <c r="O619" s="791" t="s">
        <v>4041</v>
      </c>
      <c r="Q619" s="288" t="str">
        <f>IFERROR(VLOOKUP(ROWS($Q$3:Q619),$M$3:$N$718,2,0),"")</f>
        <v>Výroba pracovních oděvů</v>
      </c>
      <c r="R619">
        <f>IF(ISNUMBER(SEARCH('1Př1'!$A$32,N619)),MAX($M$2:M618)+1,0)</f>
        <v>617</v>
      </c>
      <c r="S619" s="287" t="s">
        <v>2040</v>
      </c>
      <c r="T619" t="str">
        <f>IFERROR(VLOOKUP(ROWS($T$3:T619),$R$3:$S$718,2,0),"")</f>
        <v>Zprostř.velkoob.a velkoob.v zast.se zákl.zem.pr.,živými zv.,text.sur.a pol.</v>
      </c>
      <c r="U619">
        <f>IF(ISNUMBER(SEARCH('1Př1'!$A$33,N619)),MAX($M$2:M618)+1,0)</f>
        <v>617</v>
      </c>
      <c r="V619" s="287" t="s">
        <v>2040</v>
      </c>
      <c r="W619" t="str">
        <f>IFERROR(VLOOKUP(ROWS($W$3:W619),$U$3:$V$718,2,0),"")</f>
        <v>Zprostř.velkoob.a velkoob.v zast.se zákl.zem.pr.,živými zv.,text.sur.a pol.</v>
      </c>
      <c r="X619">
        <f>IF(ISNUMBER(SEARCH('1Př1'!$A$34,N619)),MAX($M$2:M618)+1,0)</f>
        <v>617</v>
      </c>
      <c r="Y619" s="287" t="s">
        <v>2040</v>
      </c>
      <c r="Z619" t="str">
        <f>IFERROR(VLOOKUP(ROWS($Z$3:Z619),$X$3:$Y$718,2,0),"")</f>
        <v>Zprostř.velkoob.a velkoob.v zast.se zákl.zem.pr.,živými zv.,text.sur.a pol.</v>
      </c>
    </row>
    <row r="620" spans="13:26" ht="25.5">
      <c r="M620" s="286">
        <f>IF(ISNUMBER(SEARCH(ZAKL_DATA!$B$29,N620)),MAX($M$2:M619)+1,0)</f>
        <v>618</v>
      </c>
      <c r="N620" s="791" t="s">
        <v>4042</v>
      </c>
      <c r="O620" s="791" t="s">
        <v>4043</v>
      </c>
      <c r="Q620" s="288" t="str">
        <f>IFERROR(VLOOKUP(ROWS($Q$3:Q620),$M$3:$N$718,2,0),"")</f>
        <v>Výroba pryžových plášťů a duší a protektorování pneumatik</v>
      </c>
      <c r="R620">
        <f>IF(ISNUMBER(SEARCH('1Př1'!$A$32,N620)),MAX($M$2:M619)+1,0)</f>
        <v>618</v>
      </c>
      <c r="S620" s="287" t="s">
        <v>2041</v>
      </c>
      <c r="T620" t="str">
        <f>IFERROR(VLOOKUP(ROWS($T$3:T620),$R$3:$S$718,2,0),"")</f>
        <v>Zprostř.velkoob.a velkoob.v zast.s palivy,rudami,kovy a prům.chemikáliemi</v>
      </c>
      <c r="U620">
        <f>IF(ISNUMBER(SEARCH('1Př1'!$A$33,N620)),MAX($M$2:M619)+1,0)</f>
        <v>618</v>
      </c>
      <c r="V620" s="287" t="s">
        <v>2041</v>
      </c>
      <c r="W620" t="str">
        <f>IFERROR(VLOOKUP(ROWS($W$3:W620),$U$3:$V$718,2,0),"")</f>
        <v>Zprostř.velkoob.a velkoob.v zast.s palivy,rudami,kovy a prům.chemikáliemi</v>
      </c>
      <c r="X620">
        <f>IF(ISNUMBER(SEARCH('1Př1'!$A$34,N620)),MAX($M$2:M619)+1,0)</f>
        <v>618</v>
      </c>
      <c r="Y620" s="287" t="s">
        <v>2041</v>
      </c>
      <c r="Z620" t="str">
        <f>IFERROR(VLOOKUP(ROWS($Z$3:Z620),$X$3:$Y$718,2,0),"")</f>
        <v>Zprostř.velkoob.a velkoob.v zast.s palivy,rudami,kovy a prům.chemikáliemi</v>
      </c>
    </row>
    <row r="621" spans="13:26" ht="25.5">
      <c r="M621" s="286">
        <f>IF(ISNUMBER(SEARCH(ZAKL_DATA!$B$29,N621)),MAX($M$2:M620)+1,0)</f>
        <v>619</v>
      </c>
      <c r="N621" s="791" t="s">
        <v>4044</v>
      </c>
      <c r="O621" s="791" t="s">
        <v>4045</v>
      </c>
      <c r="Q621" s="288" t="str">
        <f>IFERROR(VLOOKUP(ROWS($Q$3:Q621),$M$3:$N$718,2,0),"")</f>
        <v>Výroba radiátorů k ústřednímu topení a parních kotlů</v>
      </c>
      <c r="R621">
        <f>IF(ISNUMBER(SEARCH('1Př1'!$A$32,N621)),MAX($M$2:M620)+1,0)</f>
        <v>619</v>
      </c>
      <c r="S621" s="287" t="s">
        <v>2042</v>
      </c>
      <c r="T621" t="str">
        <f>IFERROR(VLOOKUP(ROWS($T$3:T621),$R$3:$S$718,2,0),"")</f>
        <v>Zprostř.velkoobchodu a velkoobchod v zast.se dřevem a staveb.materiály</v>
      </c>
      <c r="U621">
        <f>IF(ISNUMBER(SEARCH('1Př1'!$A$33,N621)),MAX($M$2:M620)+1,0)</f>
        <v>619</v>
      </c>
      <c r="V621" s="287" t="s">
        <v>2042</v>
      </c>
      <c r="W621" t="str">
        <f>IFERROR(VLOOKUP(ROWS($W$3:W621),$U$3:$V$718,2,0),"")</f>
        <v>Zprostř.velkoobchodu a velkoobchod v zast.se dřevem a staveb.materiály</v>
      </c>
      <c r="X621">
        <f>IF(ISNUMBER(SEARCH('1Př1'!$A$34,N621)),MAX($M$2:M620)+1,0)</f>
        <v>619</v>
      </c>
      <c r="Y621" s="287" t="s">
        <v>2042</v>
      </c>
      <c r="Z621" t="str">
        <f>IFERROR(VLOOKUP(ROWS($Z$3:Z621),$X$3:$Y$718,2,0),"")</f>
        <v>Zprostř.velkoobchodu a velkoobchod v zast.se dřevem a staveb.materiály</v>
      </c>
    </row>
    <row r="622" spans="13:26" ht="25.5">
      <c r="M622" s="286">
        <f>IF(ISNUMBER(SEARCH(ZAKL_DATA!$B$29,N622)),MAX($M$2:M621)+1,0)</f>
        <v>620</v>
      </c>
      <c r="N622" s="791" t="s">
        <v>4046</v>
      </c>
      <c r="O622" s="791" t="s">
        <v>4047</v>
      </c>
      <c r="Q622" s="288" t="str">
        <f>IFERROR(VLOOKUP(ROWS($Q$3:Q622),$M$3:$N$718,2,0),"")</f>
        <v>Výroba rafinovaných ropných produktů a produktů z fosilních paliv</v>
      </c>
      <c r="R622">
        <f>IF(ISNUMBER(SEARCH('1Př1'!$A$32,N622)),MAX($M$2:M621)+1,0)</f>
        <v>620</v>
      </c>
      <c r="S622" s="287" t="s">
        <v>2043</v>
      </c>
      <c r="T622" t="str">
        <f>IFERROR(VLOOKUP(ROWS($T$3:T622),$R$3:$S$718,2,0),"")</f>
        <v>Zprostř.velkoobchodu a velkoob.v zast.se stroji,prům.zař.,loděmi a letadly</v>
      </c>
      <c r="U622">
        <f>IF(ISNUMBER(SEARCH('1Př1'!$A$33,N622)),MAX($M$2:M621)+1,0)</f>
        <v>620</v>
      </c>
      <c r="V622" s="287" t="s">
        <v>2043</v>
      </c>
      <c r="W622" t="str">
        <f>IFERROR(VLOOKUP(ROWS($W$3:W622),$U$3:$V$718,2,0),"")</f>
        <v>Zprostř.velkoobchodu a velkoob.v zast.se stroji,prům.zař.,loděmi a letadly</v>
      </c>
      <c r="X622">
        <f>IF(ISNUMBER(SEARCH('1Př1'!$A$34,N622)),MAX($M$2:M621)+1,0)</f>
        <v>620</v>
      </c>
      <c r="Y622" s="287" t="s">
        <v>2043</v>
      </c>
      <c r="Z622" t="str">
        <f>IFERROR(VLOOKUP(ROWS($Z$3:Z622),$X$3:$Y$718,2,0),"")</f>
        <v>Zprostř.velkoobchodu a velkoob.v zast.se stroji,prům.zař.,loděmi a letadly</v>
      </c>
    </row>
    <row r="623" spans="13:26">
      <c r="M623" s="286">
        <f>IF(ISNUMBER(SEARCH(ZAKL_DATA!$B$29,N623)),MAX($M$2:M622)+1,0)</f>
        <v>621</v>
      </c>
      <c r="N623" s="791" t="s">
        <v>1966</v>
      </c>
      <c r="O623" s="791" t="s">
        <v>4048</v>
      </c>
      <c r="Q623" s="288" t="str">
        <f>IFERROR(VLOOKUP(ROWS($Q$3:Q623),$M$3:$N$718,2,0),"")</f>
        <v>Výroba ručních mechanizovaných nástrojů</v>
      </c>
      <c r="R623">
        <f>IF(ISNUMBER(SEARCH('1Př1'!$A$32,N623)),MAX($M$2:M622)+1,0)</f>
        <v>621</v>
      </c>
      <c r="S623" s="287" t="s">
        <v>2044</v>
      </c>
      <c r="T623" t="str">
        <f>IFERROR(VLOOKUP(ROWS($T$3:T623),$R$3:$S$718,2,0),"")</f>
        <v>Zprostř.velkoob.a velkoob.v zast.s náb.,želez.zbožím a potř.převáž.pro dom.</v>
      </c>
      <c r="U623">
        <f>IF(ISNUMBER(SEARCH('1Př1'!$A$33,N623)),MAX($M$2:M622)+1,0)</f>
        <v>621</v>
      </c>
      <c r="V623" s="287" t="s">
        <v>2044</v>
      </c>
      <c r="W623" t="str">
        <f>IFERROR(VLOOKUP(ROWS($W$3:W623),$U$3:$V$718,2,0),"")</f>
        <v>Zprostř.velkoob.a velkoob.v zast.s náb.,želez.zbožím a potř.převáž.pro dom.</v>
      </c>
      <c r="X623">
        <f>IF(ISNUMBER(SEARCH('1Př1'!$A$34,N623)),MAX($M$2:M622)+1,0)</f>
        <v>621</v>
      </c>
      <c r="Y623" s="287" t="s">
        <v>2044</v>
      </c>
      <c r="Z623" t="str">
        <f>IFERROR(VLOOKUP(ROWS($Z$3:Z623),$X$3:$Y$718,2,0),"")</f>
        <v>Zprostř.velkoob.a velkoob.v zast.s náb.,želez.zbožím a potř.převáž.pro dom.</v>
      </c>
    </row>
    <row r="624" spans="13:26">
      <c r="M624" s="286">
        <f>IF(ISNUMBER(SEARCH(ZAKL_DATA!$B$29,N624)),MAX($M$2:M623)+1,0)</f>
        <v>622</v>
      </c>
      <c r="N624" s="791" t="s">
        <v>1912</v>
      </c>
      <c r="O624" s="791" t="s">
        <v>4049</v>
      </c>
      <c r="Q624" s="288" t="str">
        <f>IFERROR(VLOOKUP(ROWS($Q$3:Q624),$M$3:$N$718,2,0),"")</f>
        <v>Výroba sádrových výrobků pro stavební účely</v>
      </c>
      <c r="R624">
        <f>IF(ISNUMBER(SEARCH('1Př1'!$A$32,N624)),MAX($M$2:M623)+1,0)</f>
        <v>622</v>
      </c>
      <c r="S624" s="287" t="s">
        <v>2045</v>
      </c>
      <c r="T624" t="str">
        <f>IFERROR(VLOOKUP(ROWS($T$3:T624),$R$3:$S$718,2,0),"")</f>
        <v>Zprostř.velkoob.a velkoob.v zast.s text.,oděvy,kožešinami,obuví a kož.výr.</v>
      </c>
      <c r="U624">
        <f>IF(ISNUMBER(SEARCH('1Př1'!$A$33,N624)),MAX($M$2:M623)+1,0)</f>
        <v>622</v>
      </c>
      <c r="V624" s="287" t="s">
        <v>2045</v>
      </c>
      <c r="W624" t="str">
        <f>IFERROR(VLOOKUP(ROWS($W$3:W624),$U$3:$V$718,2,0),"")</f>
        <v>Zprostř.velkoob.a velkoob.v zast.s text.,oděvy,kožešinami,obuví a kož.výr.</v>
      </c>
      <c r="X624">
        <f>IF(ISNUMBER(SEARCH('1Př1'!$A$34,N624)),MAX($M$2:M623)+1,0)</f>
        <v>622</v>
      </c>
      <c r="Y624" s="287" t="s">
        <v>2045</v>
      </c>
      <c r="Z624" t="str">
        <f>IFERROR(VLOOKUP(ROWS($Z$3:Z624),$X$3:$Y$718,2,0),"")</f>
        <v>Zprostř.velkoob.a velkoob.v zast.s text.,oděvy,kožešinami,obuví a kož.výr.</v>
      </c>
    </row>
    <row r="625" spans="13:26">
      <c r="M625" s="286">
        <f>IF(ISNUMBER(SEARCH(ZAKL_DATA!$B$29,N625)),MAX($M$2:M624)+1,0)</f>
        <v>623</v>
      </c>
      <c r="N625" s="791" t="s">
        <v>1863</v>
      </c>
      <c r="O625" s="791" t="s">
        <v>4050</v>
      </c>
      <c r="Q625" s="288" t="str">
        <f>IFERROR(VLOOKUP(ROWS($Q$3:Q625),$M$3:$N$718,2,0),"")</f>
        <v>Výroba sestavených parketových podlah</v>
      </c>
      <c r="R625">
        <f>IF(ISNUMBER(SEARCH('1Př1'!$A$32,N625)),MAX($M$2:M624)+1,0)</f>
        <v>623</v>
      </c>
      <c r="S625" s="287" t="s">
        <v>2046</v>
      </c>
      <c r="T625" t="str">
        <f>IFERROR(VLOOKUP(ROWS($T$3:T625),$R$3:$S$718,2,0),"")</f>
        <v>Zprostř.velkoob.a velkoob.v zast.s potr.,nápoji,tabákem a tabák.výrobky</v>
      </c>
      <c r="U625">
        <f>IF(ISNUMBER(SEARCH('1Př1'!$A$33,N625)),MAX($M$2:M624)+1,0)</f>
        <v>623</v>
      </c>
      <c r="V625" s="287" t="s">
        <v>2046</v>
      </c>
      <c r="W625" t="str">
        <f>IFERROR(VLOOKUP(ROWS($W$3:W625),$U$3:$V$718,2,0),"")</f>
        <v>Zprostř.velkoob.a velkoob.v zast.s potr.,nápoji,tabákem a tabák.výrobky</v>
      </c>
      <c r="X625">
        <f>IF(ISNUMBER(SEARCH('1Př1'!$A$34,N625)),MAX($M$2:M624)+1,0)</f>
        <v>623</v>
      </c>
      <c r="Y625" s="287" t="s">
        <v>2046</v>
      </c>
      <c r="Z625" t="str">
        <f>IFERROR(VLOOKUP(ROWS($Z$3:Z625),$X$3:$Y$718,2,0),"")</f>
        <v>Zprostř.velkoob.a velkoob.v zast.s potr.,nápoji,tabákem a tabák.výrobky</v>
      </c>
    </row>
    <row r="626" spans="13:26">
      <c r="M626" s="286">
        <f>IF(ISNUMBER(SEARCH(ZAKL_DATA!$B$29,N626)),MAX($M$2:M625)+1,0)</f>
        <v>624</v>
      </c>
      <c r="N626" s="791" t="s">
        <v>1900</v>
      </c>
      <c r="O626" s="791" t="s">
        <v>4051</v>
      </c>
      <c r="Q626" s="288" t="str">
        <f>IFERROR(VLOOKUP(ROWS($Q$3:Q626),$M$3:$N$718,2,0),"")</f>
        <v>Výroba skleněných vláken</v>
      </c>
      <c r="R626">
        <f>IF(ISNUMBER(SEARCH('1Př1'!$A$32,N626)),MAX($M$2:M625)+1,0)</f>
        <v>624</v>
      </c>
      <c r="S626" s="287" t="s">
        <v>2047</v>
      </c>
      <c r="T626" t="str">
        <f>IFERROR(VLOOKUP(ROWS($T$3:T626),$R$3:$S$718,2,0),"")</f>
        <v>Zprostř.specializ.velkoob.a specializ.velkoob.v zast.s ost.výrobky</v>
      </c>
      <c r="U626">
        <f>IF(ISNUMBER(SEARCH('1Př1'!$A$33,N626)),MAX($M$2:M625)+1,0)</f>
        <v>624</v>
      </c>
      <c r="V626" s="287" t="s">
        <v>2047</v>
      </c>
      <c r="W626" t="str">
        <f>IFERROR(VLOOKUP(ROWS($W$3:W626),$U$3:$V$718,2,0),"")</f>
        <v>Zprostř.specializ.velkoob.a specializ.velkoob.v zast.s ost.výrobky</v>
      </c>
      <c r="X626">
        <f>IF(ISNUMBER(SEARCH('1Př1'!$A$34,N626)),MAX($M$2:M625)+1,0)</f>
        <v>624</v>
      </c>
      <c r="Y626" s="287" t="s">
        <v>2047</v>
      </c>
      <c r="Z626" t="str">
        <f>IFERROR(VLOOKUP(ROWS($Z$3:Z626),$X$3:$Y$718,2,0),"")</f>
        <v>Zprostř.specializ.velkoob.a specializ.velkoob.v zast.s ost.výrobky</v>
      </c>
    </row>
    <row r="627" spans="13:26">
      <c r="M627" s="286">
        <f>IF(ISNUMBER(SEARCH(ZAKL_DATA!$B$29,N627)),MAX($M$2:M626)+1,0)</f>
        <v>625</v>
      </c>
      <c r="N627" s="791" t="s">
        <v>1840</v>
      </c>
      <c r="O627" s="791" t="s">
        <v>4052</v>
      </c>
      <c r="Q627" s="288" t="str">
        <f>IFERROR(VLOOKUP(ROWS($Q$3:Q627),$M$3:$N$718,2,0),"")</f>
        <v>Výroba sladu</v>
      </c>
      <c r="R627">
        <f>IF(ISNUMBER(SEARCH('1Př1'!$A$32,N627)),MAX($M$2:M626)+1,0)</f>
        <v>625</v>
      </c>
      <c r="S627" s="287" t="s">
        <v>2048</v>
      </c>
      <c r="T627" t="str">
        <f>IFERROR(VLOOKUP(ROWS($T$3:T627),$R$3:$S$718,2,0),"")</f>
        <v>Zprostř.nespecializ.velkoobchodu a nespecializ.velkoobchod v zast.</v>
      </c>
      <c r="U627">
        <f>IF(ISNUMBER(SEARCH('1Př1'!$A$33,N627)),MAX($M$2:M626)+1,0)</f>
        <v>625</v>
      </c>
      <c r="V627" s="287" t="s">
        <v>2048</v>
      </c>
      <c r="W627" t="str">
        <f>IFERROR(VLOOKUP(ROWS($W$3:W627),$U$3:$V$718,2,0),"")</f>
        <v>Zprostř.nespecializ.velkoobchodu a nespecializ.velkoobchod v zast.</v>
      </c>
      <c r="X627">
        <f>IF(ISNUMBER(SEARCH('1Př1'!$A$34,N627)),MAX($M$2:M626)+1,0)</f>
        <v>625</v>
      </c>
      <c r="Y627" s="287" t="s">
        <v>2048</v>
      </c>
      <c r="Z627" t="str">
        <f>IFERROR(VLOOKUP(ROWS($Z$3:Z627),$X$3:$Y$718,2,0),"")</f>
        <v>Zprostř.nespecializ.velkoobchodu a nespecializ.velkoobchod v zast.</v>
      </c>
    </row>
    <row r="628" spans="13:26">
      <c r="M628" s="286">
        <f>IF(ISNUMBER(SEARCH(ZAKL_DATA!$B$29,N628)),MAX($M$2:M627)+1,0)</f>
        <v>626</v>
      </c>
      <c r="N628" s="791" t="s">
        <v>4053</v>
      </c>
      <c r="O628" s="791" t="s">
        <v>4054</v>
      </c>
      <c r="Q628" s="288" t="str">
        <f>IFERROR(VLOOKUP(ROWS($Q$3:Q628),$M$3:$N$718,2,0),"")</f>
        <v>Výroba spojovacích materiálů a výrobků se závity</v>
      </c>
      <c r="R628">
        <f>IF(ISNUMBER(SEARCH('1Př1'!$A$32,N628)),MAX($M$2:M627)+1,0)</f>
        <v>626</v>
      </c>
      <c r="S628" s="287" t="s">
        <v>2049</v>
      </c>
      <c r="T628" t="str">
        <f>IFERROR(VLOOKUP(ROWS($T$3:T628),$R$3:$S$718,2,0),"")</f>
        <v>Velkoobchod s obilím, surovým tabákem, osivy a krmivy</v>
      </c>
      <c r="U628">
        <f>IF(ISNUMBER(SEARCH('1Př1'!$A$33,N628)),MAX($M$2:M627)+1,0)</f>
        <v>626</v>
      </c>
      <c r="V628" s="287" t="s">
        <v>2049</v>
      </c>
      <c r="W628" t="str">
        <f>IFERROR(VLOOKUP(ROWS($W$3:W628),$U$3:$V$718,2,0),"")</f>
        <v>Velkoobchod s obilím, surovým tabákem, osivy a krmivy</v>
      </c>
      <c r="X628">
        <f>IF(ISNUMBER(SEARCH('1Př1'!$A$34,N628)),MAX($M$2:M627)+1,0)</f>
        <v>626</v>
      </c>
      <c r="Y628" s="287" t="s">
        <v>2049</v>
      </c>
      <c r="Z628" t="str">
        <f>IFERROR(VLOOKUP(ROWS($Z$3:Z628),$X$3:$Y$718,2,0),"")</f>
        <v>Velkoobchod s obilím, surovým tabákem, osivy a krmivy</v>
      </c>
    </row>
    <row r="629" spans="13:26">
      <c r="M629" s="286">
        <f>IF(ISNUMBER(SEARCH(ZAKL_DATA!$B$29,N629)),MAX($M$2:M628)+1,0)</f>
        <v>627</v>
      </c>
      <c r="N629" s="791" t="s">
        <v>1612</v>
      </c>
      <c r="O629" s="791" t="s">
        <v>4055</v>
      </c>
      <c r="Q629" s="288" t="str">
        <f>IFERROR(VLOOKUP(ROWS($Q$3:Q629),$M$3:$N$718,2,0),"")</f>
        <v>Výroba sportovních potřeb</v>
      </c>
      <c r="R629">
        <f>IF(ISNUMBER(SEARCH('1Př1'!$A$32,N629)),MAX($M$2:M628)+1,0)</f>
        <v>627</v>
      </c>
      <c r="S629" s="287" t="s">
        <v>2050</v>
      </c>
      <c r="T629" t="str">
        <f>IFERROR(VLOOKUP(ROWS($T$3:T629),$R$3:$S$718,2,0),"")</f>
        <v>Velkoobchod s květinami a jinými rostlinami</v>
      </c>
      <c r="U629">
        <f>IF(ISNUMBER(SEARCH('1Př1'!$A$33,N629)),MAX($M$2:M628)+1,0)</f>
        <v>627</v>
      </c>
      <c r="V629" s="287" t="s">
        <v>2050</v>
      </c>
      <c r="W629" t="str">
        <f>IFERROR(VLOOKUP(ROWS($W$3:W629),$U$3:$V$718,2,0),"")</f>
        <v>Velkoobchod s květinami a jinými rostlinami</v>
      </c>
      <c r="X629">
        <f>IF(ISNUMBER(SEARCH('1Př1'!$A$34,N629)),MAX($M$2:M628)+1,0)</f>
        <v>627</v>
      </c>
      <c r="Y629" s="287" t="s">
        <v>2050</v>
      </c>
      <c r="Z629" t="str">
        <f>IFERROR(VLOOKUP(ROWS($Z$3:Z629),$X$3:$Y$718,2,0),"")</f>
        <v>Velkoobchod s květinami a jinými rostlinami</v>
      </c>
    </row>
    <row r="630" spans="13:26">
      <c r="M630" s="286">
        <f>IF(ISNUMBER(SEARCH(ZAKL_DATA!$B$29,N630)),MAX($M$2:M629)+1,0)</f>
        <v>628</v>
      </c>
      <c r="N630" s="791" t="s">
        <v>1521</v>
      </c>
      <c r="O630" s="791" t="s">
        <v>4056</v>
      </c>
      <c r="Q630" s="288" t="str">
        <f>IFERROR(VLOOKUP(ROWS($Q$3:Q630),$M$3:$N$718,2,0),"")</f>
        <v>Výroba spotřební elektroniky</v>
      </c>
      <c r="R630">
        <f>IF(ISNUMBER(SEARCH('1Př1'!$A$32,N630)),MAX($M$2:M629)+1,0)</f>
        <v>628</v>
      </c>
      <c r="S630" s="287" t="s">
        <v>2051</v>
      </c>
      <c r="T630" t="str">
        <f>IFERROR(VLOOKUP(ROWS($T$3:T630),$R$3:$S$718,2,0),"")</f>
        <v>Velkoobchod s živými zvířaty</v>
      </c>
      <c r="U630">
        <f>IF(ISNUMBER(SEARCH('1Př1'!$A$33,N630)),MAX($M$2:M629)+1,0)</f>
        <v>628</v>
      </c>
      <c r="V630" s="287" t="s">
        <v>2051</v>
      </c>
      <c r="W630" t="str">
        <f>IFERROR(VLOOKUP(ROWS($W$3:W630),$U$3:$V$718,2,0),"")</f>
        <v>Velkoobchod s živými zvířaty</v>
      </c>
      <c r="X630">
        <f>IF(ISNUMBER(SEARCH('1Př1'!$A$34,N630)),MAX($M$2:M629)+1,0)</f>
        <v>628</v>
      </c>
      <c r="Y630" s="287" t="s">
        <v>2051</v>
      </c>
      <c r="Z630" t="str">
        <f>IFERROR(VLOOKUP(ROWS($Z$3:Z630),$X$3:$Y$718,2,0),"")</f>
        <v>Velkoobchod s živými zvířaty</v>
      </c>
    </row>
    <row r="631" spans="13:26">
      <c r="M631" s="286">
        <f>IF(ISNUMBER(SEARCH(ZAKL_DATA!$B$29,N631)),MAX($M$2:M630)+1,0)</f>
        <v>629</v>
      </c>
      <c r="N631" s="791" t="s">
        <v>1975</v>
      </c>
      <c r="O631" s="791" t="s">
        <v>4057</v>
      </c>
      <c r="Q631" s="288" t="str">
        <f>IFERROR(VLOOKUP(ROWS($Q$3:Q631),$M$3:$N$718,2,0),"")</f>
        <v>Výroba strojů a přístrojů na výrobu papíru a lepenky</v>
      </c>
      <c r="R631">
        <f>IF(ISNUMBER(SEARCH('1Př1'!$A$32,N631)),MAX($M$2:M630)+1,0)</f>
        <v>629</v>
      </c>
      <c r="S631" s="287" t="s">
        <v>2052</v>
      </c>
      <c r="T631" t="str">
        <f>IFERROR(VLOOKUP(ROWS($T$3:T631),$R$3:$S$718,2,0),"")</f>
        <v>Velkoobchod se surovými kůžemi, kožešinami a usněmi</v>
      </c>
      <c r="U631">
        <f>IF(ISNUMBER(SEARCH('1Př1'!$A$33,N631)),MAX($M$2:M630)+1,0)</f>
        <v>629</v>
      </c>
      <c r="V631" s="287" t="s">
        <v>2052</v>
      </c>
      <c r="W631" t="str">
        <f>IFERROR(VLOOKUP(ROWS($W$3:W631),$U$3:$V$718,2,0),"")</f>
        <v>Velkoobchod se surovými kůžemi, kožešinami a usněmi</v>
      </c>
      <c r="X631">
        <f>IF(ISNUMBER(SEARCH('1Př1'!$A$34,N631)),MAX($M$2:M630)+1,0)</f>
        <v>629</v>
      </c>
      <c r="Y631" s="287" t="s">
        <v>2052</v>
      </c>
      <c r="Z631" t="str">
        <f>IFERROR(VLOOKUP(ROWS($Z$3:Z631),$X$3:$Y$718,2,0),"")</f>
        <v>Velkoobchod se surovými kůžemi, kožešinami a usněmi</v>
      </c>
    </row>
    <row r="632" spans="13:26">
      <c r="M632" s="286">
        <f>IF(ISNUMBER(SEARCH(ZAKL_DATA!$B$29,N632)),MAX($M$2:M631)+1,0)</f>
        <v>630</v>
      </c>
      <c r="N632" s="791" t="s">
        <v>1976</v>
      </c>
      <c r="O632" s="791" t="s">
        <v>4058</v>
      </c>
      <c r="Q632" s="288" t="str">
        <f>IFERROR(VLOOKUP(ROWS($Q$3:Q632),$M$3:$N$718,2,0),"")</f>
        <v>Výroba strojů na výrobu plastů a pryže</v>
      </c>
      <c r="R632">
        <f>IF(ISNUMBER(SEARCH('1Př1'!$A$32,N632)),MAX($M$2:M631)+1,0)</f>
        <v>630</v>
      </c>
      <c r="S632" s="287" t="s">
        <v>2053</v>
      </c>
      <c r="T632" t="str">
        <f>IFERROR(VLOOKUP(ROWS($T$3:T632),$R$3:$S$718,2,0),"")</f>
        <v>Velkoobchod s ovocem a zeleninou</v>
      </c>
      <c r="U632">
        <f>IF(ISNUMBER(SEARCH('1Př1'!$A$33,N632)),MAX($M$2:M631)+1,0)</f>
        <v>630</v>
      </c>
      <c r="V632" s="287" t="s">
        <v>2053</v>
      </c>
      <c r="W632" t="str">
        <f>IFERROR(VLOOKUP(ROWS($W$3:W632),$U$3:$V$718,2,0),"")</f>
        <v>Velkoobchod s ovocem a zeleninou</v>
      </c>
      <c r="X632">
        <f>IF(ISNUMBER(SEARCH('1Př1'!$A$34,N632)),MAX($M$2:M631)+1,0)</f>
        <v>630</v>
      </c>
      <c r="Y632" s="287" t="s">
        <v>2053</v>
      </c>
      <c r="Z632" t="str">
        <f>IFERROR(VLOOKUP(ROWS($Z$3:Z632),$X$3:$Y$718,2,0),"")</f>
        <v>Velkoobchod s ovocem a zeleninou</v>
      </c>
    </row>
    <row r="633" spans="13:26" ht="25.5">
      <c r="M633" s="286">
        <f>IF(ISNUMBER(SEARCH(ZAKL_DATA!$B$29,N633)),MAX($M$2:M632)+1,0)</f>
        <v>631</v>
      </c>
      <c r="N633" s="791" t="s">
        <v>1973</v>
      </c>
      <c r="O633" s="791" t="s">
        <v>4059</v>
      </c>
      <c r="Q633" s="288" t="str">
        <f>IFERROR(VLOOKUP(ROWS($Q$3:Q633),$M$3:$N$718,2,0),"")</f>
        <v>Výroba strojů na výrobu potravin, nápojů a zpracování tabáku</v>
      </c>
      <c r="R633">
        <f>IF(ISNUMBER(SEARCH('1Př1'!$A$32,N633)),MAX($M$2:M632)+1,0)</f>
        <v>631</v>
      </c>
      <c r="S633" s="287" t="s">
        <v>2054</v>
      </c>
      <c r="T633" t="str">
        <f>IFERROR(VLOOKUP(ROWS($T$3:T633),$R$3:$S$718,2,0),"")</f>
        <v>Velkoobchod s masem a masnými výrobky</v>
      </c>
      <c r="U633">
        <f>IF(ISNUMBER(SEARCH('1Př1'!$A$33,N633)),MAX($M$2:M632)+1,0)</f>
        <v>631</v>
      </c>
      <c r="V633" s="287" t="s">
        <v>2054</v>
      </c>
      <c r="W633" t="str">
        <f>IFERROR(VLOOKUP(ROWS($W$3:W633),$U$3:$V$718,2,0),"")</f>
        <v>Velkoobchod s masem a masnými výrobky</v>
      </c>
      <c r="X633">
        <f>IF(ISNUMBER(SEARCH('1Př1'!$A$34,N633)),MAX($M$2:M632)+1,0)</f>
        <v>631</v>
      </c>
      <c r="Y633" s="287" t="s">
        <v>2054</v>
      </c>
      <c r="Z633" t="str">
        <f>IFERROR(VLOOKUP(ROWS($Z$3:Z633),$X$3:$Y$718,2,0),"")</f>
        <v>Velkoobchod s masem a masnými výrobky</v>
      </c>
    </row>
    <row r="634" spans="13:26" ht="25.5">
      <c r="M634" s="286">
        <f>IF(ISNUMBER(SEARCH(ZAKL_DATA!$B$29,N634)),MAX($M$2:M633)+1,0)</f>
        <v>632</v>
      </c>
      <c r="N634" s="791" t="s">
        <v>1974</v>
      </c>
      <c r="O634" s="791" t="s">
        <v>4060</v>
      </c>
      <c r="Q634" s="288" t="str">
        <f>IFERROR(VLOOKUP(ROWS($Q$3:Q634),$M$3:$N$718,2,0),"")</f>
        <v>Výroba strojů na výrobu textilu, oděvních výrobků a výrobků z usní</v>
      </c>
      <c r="R634">
        <f>IF(ISNUMBER(SEARCH('1Př1'!$A$32,N634)),MAX($M$2:M633)+1,0)</f>
        <v>632</v>
      </c>
      <c r="S634" s="287" t="s">
        <v>2055</v>
      </c>
      <c r="T634" t="str">
        <f>IFERROR(VLOOKUP(ROWS($T$3:T634),$R$3:$S$718,2,0),"")</f>
        <v>Velkoobchod s mléčnými výrobky, vejci, jedlými oleji a tuky</v>
      </c>
      <c r="U634">
        <f>IF(ISNUMBER(SEARCH('1Př1'!$A$33,N634)),MAX($M$2:M633)+1,0)</f>
        <v>632</v>
      </c>
      <c r="V634" s="287" t="s">
        <v>2055</v>
      </c>
      <c r="W634" t="str">
        <f>IFERROR(VLOOKUP(ROWS($W$3:W634),$U$3:$V$718,2,0),"")</f>
        <v>Velkoobchod s mléčnými výrobky, vejci, jedlými oleji a tuky</v>
      </c>
      <c r="X634">
        <f>IF(ISNUMBER(SEARCH('1Př1'!$A$34,N634)),MAX($M$2:M633)+1,0)</f>
        <v>632</v>
      </c>
      <c r="Y634" s="287" t="s">
        <v>2055</v>
      </c>
      <c r="Z634" t="str">
        <f>IFERROR(VLOOKUP(ROWS($Z$3:Z634),$X$3:$Y$718,2,0),"")</f>
        <v>Velkoobchod s mléčnými výrobky, vejci, jedlými oleji a tuky</v>
      </c>
    </row>
    <row r="635" spans="13:26">
      <c r="M635" s="286">
        <f>IF(ISNUMBER(SEARCH(ZAKL_DATA!$B$29,N635)),MAX($M$2:M634)+1,0)</f>
        <v>633</v>
      </c>
      <c r="N635" s="791" t="s">
        <v>4061</v>
      </c>
      <c r="O635" s="791" t="s">
        <v>4062</v>
      </c>
      <c r="Q635" s="288" t="str">
        <f>IFERROR(VLOOKUP(ROWS($Q$3:Q635),$M$3:$N$718,2,0),"")</f>
        <v>Výroba strojů pro aditivní výrobu</v>
      </c>
      <c r="R635">
        <f>IF(ISNUMBER(SEARCH('1Př1'!$A$32,N635)),MAX($M$2:M634)+1,0)</f>
        <v>633</v>
      </c>
      <c r="S635" s="287" t="s">
        <v>2056</v>
      </c>
      <c r="T635" t="str">
        <f>IFERROR(VLOOKUP(ROWS($T$3:T635),$R$3:$S$718,2,0),"")</f>
        <v>Velkoobchod s nápoji</v>
      </c>
      <c r="U635">
        <f>IF(ISNUMBER(SEARCH('1Př1'!$A$33,N635)),MAX($M$2:M634)+1,0)</f>
        <v>633</v>
      </c>
      <c r="V635" s="287" t="s">
        <v>2056</v>
      </c>
      <c r="W635" t="str">
        <f>IFERROR(VLOOKUP(ROWS($W$3:W635),$U$3:$V$718,2,0),"")</f>
        <v>Velkoobchod s nápoji</v>
      </c>
      <c r="X635">
        <f>IF(ISNUMBER(SEARCH('1Př1'!$A$34,N635)),MAX($M$2:M634)+1,0)</f>
        <v>633</v>
      </c>
      <c r="Y635" s="287" t="s">
        <v>2056</v>
      </c>
      <c r="Z635" t="str">
        <f>IFERROR(VLOOKUP(ROWS($Z$3:Z635),$X$3:$Y$718,2,0),"")</f>
        <v>Velkoobchod s nápoji</v>
      </c>
    </row>
    <row r="636" spans="13:26">
      <c r="M636" s="286">
        <f>IF(ISNUMBER(SEARCH(ZAKL_DATA!$B$29,N636)),MAX($M$2:M635)+1,0)</f>
        <v>634</v>
      </c>
      <c r="N636" s="791" t="s">
        <v>1971</v>
      </c>
      <c r="O636" s="791" t="s">
        <v>4063</v>
      </c>
      <c r="Q636" s="288" t="str">
        <f>IFERROR(VLOOKUP(ROWS($Q$3:Q636),$M$3:$N$718,2,0),"")</f>
        <v>Výroba strojů pro metalurgii</v>
      </c>
      <c r="R636">
        <f>IF(ISNUMBER(SEARCH('1Př1'!$A$32,N636)),MAX($M$2:M635)+1,0)</f>
        <v>634</v>
      </c>
      <c r="S636" s="287" t="s">
        <v>2057</v>
      </c>
      <c r="T636" t="str">
        <f>IFERROR(VLOOKUP(ROWS($T$3:T636),$R$3:$S$718,2,0),"")</f>
        <v>Velkoobchod s tabákovými výrobky</v>
      </c>
      <c r="U636">
        <f>IF(ISNUMBER(SEARCH('1Př1'!$A$33,N636)),MAX($M$2:M635)+1,0)</f>
        <v>634</v>
      </c>
      <c r="V636" s="287" t="s">
        <v>2057</v>
      </c>
      <c r="W636" t="str">
        <f>IFERROR(VLOOKUP(ROWS($W$3:W636),$U$3:$V$718,2,0),"")</f>
        <v>Velkoobchod s tabákovými výrobky</v>
      </c>
      <c r="X636">
        <f>IF(ISNUMBER(SEARCH('1Př1'!$A$34,N636)),MAX($M$2:M635)+1,0)</f>
        <v>634</v>
      </c>
      <c r="Y636" s="287" t="s">
        <v>2057</v>
      </c>
      <c r="Z636" t="str">
        <f>IFERROR(VLOOKUP(ROWS($Z$3:Z636),$X$3:$Y$718,2,0),"")</f>
        <v>Velkoobchod s tabákovými výrobky</v>
      </c>
    </row>
    <row r="637" spans="13:26">
      <c r="M637" s="286">
        <f>IF(ISNUMBER(SEARCH(ZAKL_DATA!$B$29,N637)),MAX($M$2:M636)+1,0)</f>
        <v>635</v>
      </c>
      <c r="N637" s="791" t="s">
        <v>1972</v>
      </c>
      <c r="O637" s="791" t="s">
        <v>4064</v>
      </c>
      <c r="Q637" s="288" t="str">
        <f>IFERROR(VLOOKUP(ROWS($Q$3:Q637),$M$3:$N$718,2,0),"")</f>
        <v>Výroba strojů pro těžbu, dobývání a stavebnictví</v>
      </c>
      <c r="R637">
        <f>IF(ISNUMBER(SEARCH('1Př1'!$A$32,N637)),MAX($M$2:M636)+1,0)</f>
        <v>635</v>
      </c>
      <c r="S637" s="287" t="s">
        <v>2058</v>
      </c>
      <c r="T637" t="str">
        <f>IFERROR(VLOOKUP(ROWS($T$3:T637),$R$3:$S$718,2,0),"")</f>
        <v>Velkoobchod s cukrem, čokoládou a cukrovinkami</v>
      </c>
      <c r="U637">
        <f>IF(ISNUMBER(SEARCH('1Př1'!$A$33,N637)),MAX($M$2:M636)+1,0)</f>
        <v>635</v>
      </c>
      <c r="V637" s="287" t="s">
        <v>2058</v>
      </c>
      <c r="W637" t="str">
        <f>IFERROR(VLOOKUP(ROWS($W$3:W637),$U$3:$V$718,2,0),"")</f>
        <v>Velkoobchod s cukrem, čokoládou a cukrovinkami</v>
      </c>
      <c r="X637">
        <f>IF(ISNUMBER(SEARCH('1Př1'!$A$34,N637)),MAX($M$2:M636)+1,0)</f>
        <v>635</v>
      </c>
      <c r="Y637" s="287" t="s">
        <v>2058</v>
      </c>
      <c r="Z637" t="str">
        <f>IFERROR(VLOOKUP(ROWS($Z$3:Z637),$X$3:$Y$718,2,0),"")</f>
        <v>Velkoobchod s cukrem, čokoládou a cukrovinkami</v>
      </c>
    </row>
    <row r="638" spans="13:26" ht="25.5">
      <c r="M638" s="286">
        <f>IF(ISNUMBER(SEARCH(ZAKL_DATA!$B$29,N638)),MAX($M$2:M637)+1,0)</f>
        <v>636</v>
      </c>
      <c r="N638" s="791" t="s">
        <v>4065</v>
      </c>
      <c r="O638" s="791" t="s">
        <v>4066</v>
      </c>
      <c r="Q638" s="288" t="str">
        <f>IFERROR(VLOOKUP(ROWS($Q$3:Q638),$M$3:$N$718,2,0),"")</f>
        <v>Výroba sucharů, sušenek a trvanlivých pekařských a cukrářských výrobků</v>
      </c>
      <c r="R638">
        <f>IF(ISNUMBER(SEARCH('1Př1'!$A$32,N638)),MAX($M$2:M637)+1,0)</f>
        <v>636</v>
      </c>
      <c r="S638" s="287" t="s">
        <v>2059</v>
      </c>
      <c r="T638" t="str">
        <f>IFERROR(VLOOKUP(ROWS($T$3:T638),$R$3:$S$718,2,0),"")</f>
        <v>Velkoobchod s kávou, čajem, kakaem a kořením</v>
      </c>
      <c r="U638">
        <f>IF(ISNUMBER(SEARCH('1Př1'!$A$33,N638)),MAX($M$2:M637)+1,0)</f>
        <v>636</v>
      </c>
      <c r="V638" s="287" t="s">
        <v>2059</v>
      </c>
      <c r="W638" t="str">
        <f>IFERROR(VLOOKUP(ROWS($W$3:W638),$U$3:$V$718,2,0),"")</f>
        <v>Velkoobchod s kávou, čajem, kakaem a kořením</v>
      </c>
      <c r="X638">
        <f>IF(ISNUMBER(SEARCH('1Př1'!$A$34,N638)),MAX($M$2:M637)+1,0)</f>
        <v>636</v>
      </c>
      <c r="Y638" s="287" t="s">
        <v>2059</v>
      </c>
      <c r="Z638" t="str">
        <f>IFERROR(VLOOKUP(ROWS($Z$3:Z638),$X$3:$Y$718,2,0),"")</f>
        <v>Velkoobchod s kávou, čajem, kakaem a kořením</v>
      </c>
    </row>
    <row r="639" spans="13:26">
      <c r="M639" s="286">
        <f>IF(ISNUMBER(SEARCH(ZAKL_DATA!$B$29,N639)),MAX($M$2:M638)+1,0)</f>
        <v>637</v>
      </c>
      <c r="N639" s="791" t="s">
        <v>4067</v>
      </c>
      <c r="O639" s="791" t="s">
        <v>4068</v>
      </c>
      <c r="Q639" s="288" t="str">
        <f>IFERROR(VLOOKUP(ROWS($Q$3:Q639),$M$3:$N$718,2,0),"")</f>
        <v>Výroba surového železa, oceli a feroslitin j. n.</v>
      </c>
      <c r="R639">
        <f>IF(ISNUMBER(SEARCH('1Př1'!$A$32,N639)),MAX($M$2:M638)+1,0)</f>
        <v>637</v>
      </c>
      <c r="S639" s="287" t="s">
        <v>2060</v>
      </c>
      <c r="T639" t="str">
        <f>IFERROR(VLOOKUP(ROWS($T$3:T639),$R$3:$S$718,2,0),"")</f>
        <v>Specializ.velkoobchod s jinými potravinami,včetně ryb,korýšů a měkkýšů</v>
      </c>
      <c r="U639">
        <f>IF(ISNUMBER(SEARCH('1Př1'!$A$33,N639)),MAX($M$2:M638)+1,0)</f>
        <v>637</v>
      </c>
      <c r="V639" s="287" t="s">
        <v>2060</v>
      </c>
      <c r="W639" t="str">
        <f>IFERROR(VLOOKUP(ROWS($W$3:W639),$U$3:$V$718,2,0),"")</f>
        <v>Specializ.velkoobchod s jinými potravinami,včetně ryb,korýšů a měkkýšů</v>
      </c>
      <c r="X639">
        <f>IF(ISNUMBER(SEARCH('1Př1'!$A$34,N639)),MAX($M$2:M638)+1,0)</f>
        <v>637</v>
      </c>
      <c r="Y639" s="287" t="s">
        <v>2060</v>
      </c>
      <c r="Z639" t="str">
        <f>IFERROR(VLOOKUP(ROWS($Z$3:Z639),$X$3:$Y$718,2,0),"")</f>
        <v>Specializ.velkoobchod s jinými potravinami,včetně ryb,korýšů a měkkýšů</v>
      </c>
    </row>
    <row r="640" spans="13:26">
      <c r="M640" s="286">
        <f>IF(ISNUMBER(SEARCH(ZAKL_DATA!$B$29,N640)),MAX($M$2:M639)+1,0)</f>
        <v>638</v>
      </c>
      <c r="N640" s="791" t="s">
        <v>4069</v>
      </c>
      <c r="O640" s="791" t="s">
        <v>4070</v>
      </c>
      <c r="Q640" s="288" t="str">
        <f>IFERROR(VLOOKUP(ROWS($Q$3:Q640),$M$3:$N$718,2,0),"")</f>
        <v>Výroba svrchních oděvů</v>
      </c>
      <c r="R640">
        <f>IF(ISNUMBER(SEARCH('1Př1'!$A$32,N640)),MAX($M$2:M639)+1,0)</f>
        <v>638</v>
      </c>
      <c r="S640" s="287" t="s">
        <v>2061</v>
      </c>
      <c r="T640" t="str">
        <f>IFERROR(VLOOKUP(ROWS($T$3:T640),$R$3:$S$718,2,0),"")</f>
        <v>Nespecializovaný velkoobchod s potravinami,nápoji a tabákovými výroby</v>
      </c>
      <c r="U640">
        <f>IF(ISNUMBER(SEARCH('1Př1'!$A$33,N640)),MAX($M$2:M639)+1,0)</f>
        <v>638</v>
      </c>
      <c r="V640" s="287" t="s">
        <v>2061</v>
      </c>
      <c r="W640" t="str">
        <f>IFERROR(VLOOKUP(ROWS($W$3:W640),$U$3:$V$718,2,0),"")</f>
        <v>Nespecializovaný velkoobchod s potravinami,nápoji a tabákovými výroby</v>
      </c>
      <c r="X640">
        <f>IF(ISNUMBER(SEARCH('1Př1'!$A$34,N640)),MAX($M$2:M639)+1,0)</f>
        <v>638</v>
      </c>
      <c r="Y640" s="287" t="s">
        <v>2061</v>
      </c>
      <c r="Z640" t="str">
        <f>IFERROR(VLOOKUP(ROWS($Z$3:Z640),$X$3:$Y$718,2,0),"")</f>
        <v>Nespecializovaný velkoobchod s potravinami,nápoji a tabákovými výroby</v>
      </c>
    </row>
    <row r="641" spans="13:26">
      <c r="M641" s="286">
        <f>IF(ISNUMBER(SEARCH(ZAKL_DATA!$B$29,N641)),MAX($M$2:M640)+1,0)</f>
        <v>639</v>
      </c>
      <c r="N641" s="791" t="s">
        <v>1884</v>
      </c>
      <c r="O641" s="791" t="s">
        <v>4071</v>
      </c>
      <c r="Q641" s="288" t="str">
        <f>IFERROR(VLOOKUP(ROWS($Q$3:Q641),$M$3:$N$718,2,0),"")</f>
        <v>Výroba syntetického kaučuku v primárních formách</v>
      </c>
      <c r="R641">
        <f>IF(ISNUMBER(SEARCH('1Př1'!$A$32,N641)),MAX($M$2:M640)+1,0)</f>
        <v>639</v>
      </c>
      <c r="S641" s="287" t="s">
        <v>2062</v>
      </c>
      <c r="T641" t="str">
        <f>IFERROR(VLOOKUP(ROWS($T$3:T641),$R$3:$S$718,2,0),"")</f>
        <v>Velkoobchod s textilem</v>
      </c>
      <c r="U641">
        <f>IF(ISNUMBER(SEARCH('1Př1'!$A$33,N641)),MAX($M$2:M640)+1,0)</f>
        <v>639</v>
      </c>
      <c r="V641" s="287" t="s">
        <v>2062</v>
      </c>
      <c r="W641" t="str">
        <f>IFERROR(VLOOKUP(ROWS($W$3:W641),$U$3:$V$718,2,0),"")</f>
        <v>Velkoobchod s textilem</v>
      </c>
      <c r="X641">
        <f>IF(ISNUMBER(SEARCH('1Př1'!$A$34,N641)),MAX($M$2:M640)+1,0)</f>
        <v>639</v>
      </c>
      <c r="Y641" s="287" t="s">
        <v>2062</v>
      </c>
      <c r="Z641" t="str">
        <f>IFERROR(VLOOKUP(ROWS($Z$3:Z641),$X$3:$Y$718,2,0),"")</f>
        <v>Velkoobchod s textilem</v>
      </c>
    </row>
    <row r="642" spans="13:26">
      <c r="M642" s="286">
        <f>IF(ISNUMBER(SEARCH(ZAKL_DATA!$B$29,N642)),MAX($M$2:M641)+1,0)</f>
        <v>640</v>
      </c>
      <c r="N642" s="791" t="s">
        <v>1822</v>
      </c>
      <c r="O642" s="791" t="s">
        <v>4072</v>
      </c>
      <c r="Q642" s="288" t="str">
        <f>IFERROR(VLOOKUP(ROWS($Q$3:Q642),$M$3:$N$718,2,0),"")</f>
        <v>Výroba škrobárenských výrobků</v>
      </c>
      <c r="R642">
        <f>IF(ISNUMBER(SEARCH('1Př1'!$A$32,N642)),MAX($M$2:M641)+1,0)</f>
        <v>640</v>
      </c>
      <c r="S642" s="287" t="s">
        <v>2063</v>
      </c>
      <c r="T642" t="str">
        <f>IFERROR(VLOOKUP(ROWS($T$3:T642),$R$3:$S$718,2,0),"")</f>
        <v>Velkoobchod s oděvy a obuví</v>
      </c>
      <c r="U642">
        <f>IF(ISNUMBER(SEARCH('1Př1'!$A$33,N642)),MAX($M$2:M641)+1,0)</f>
        <v>640</v>
      </c>
      <c r="V642" s="287" t="s">
        <v>2063</v>
      </c>
      <c r="W642" t="str">
        <f>IFERROR(VLOOKUP(ROWS($W$3:W642),$U$3:$V$718,2,0),"")</f>
        <v>Velkoobchod s oděvy a obuví</v>
      </c>
      <c r="X642">
        <f>IF(ISNUMBER(SEARCH('1Př1'!$A$34,N642)),MAX($M$2:M641)+1,0)</f>
        <v>640</v>
      </c>
      <c r="Y642" s="287" t="s">
        <v>2063</v>
      </c>
      <c r="Z642" t="str">
        <f>IFERROR(VLOOKUP(ROWS($Z$3:Z642),$X$3:$Y$718,2,0),"")</f>
        <v>Velkoobchod s oděvy a obuví</v>
      </c>
    </row>
    <row r="643" spans="13:26">
      <c r="M643" s="286">
        <f>IF(ISNUMBER(SEARCH(ZAKL_DATA!$B$29,N643)),MAX($M$2:M642)+1,0)</f>
        <v>641</v>
      </c>
      <c r="N643" s="791" t="s">
        <v>768</v>
      </c>
      <c r="O643" s="791" t="s">
        <v>4073</v>
      </c>
      <c r="Q643" s="288" t="str">
        <f>IFERROR(VLOOKUP(ROWS($Q$3:Q643),$M$3:$N$718,2,0),"")</f>
        <v>Výroba tabákových výrobků</v>
      </c>
      <c r="R643">
        <f>IF(ISNUMBER(SEARCH('1Př1'!$A$32,N643)),MAX($M$2:M642)+1,0)</f>
        <v>641</v>
      </c>
      <c r="S643" s="287" t="s">
        <v>2064</v>
      </c>
      <c r="T643" t="str">
        <f>IFERROR(VLOOKUP(ROWS($T$3:T643),$R$3:$S$718,2,0),"")</f>
        <v>Velkoobchod s elektrospotřebiči a elektronikou</v>
      </c>
      <c r="U643">
        <f>IF(ISNUMBER(SEARCH('1Př1'!$A$33,N643)),MAX($M$2:M642)+1,0)</f>
        <v>641</v>
      </c>
      <c r="V643" s="287" t="s">
        <v>2064</v>
      </c>
      <c r="W643" t="str">
        <f>IFERROR(VLOOKUP(ROWS($W$3:W643),$U$3:$V$718,2,0),"")</f>
        <v>Velkoobchod s elektrospotřebiči a elektronikou</v>
      </c>
      <c r="X643">
        <f>IF(ISNUMBER(SEARCH('1Př1'!$A$34,N643)),MAX($M$2:M642)+1,0)</f>
        <v>641</v>
      </c>
      <c r="Y643" s="287" t="s">
        <v>2064</v>
      </c>
      <c r="Z643" t="str">
        <f>IFERROR(VLOOKUP(ROWS($Z$3:Z643),$X$3:$Y$718,2,0),"")</f>
        <v>Velkoobchod s elektrospotřebiči a elektronikou</v>
      </c>
    </row>
    <row r="644" spans="13:26">
      <c r="M644" s="286">
        <f>IF(ISNUMBER(SEARCH(ZAKL_DATA!$B$29,N644)),MAX($M$2:M643)+1,0)</f>
        <v>642</v>
      </c>
      <c r="N644" s="791" t="s">
        <v>1872</v>
      </c>
      <c r="O644" s="791" t="s">
        <v>4074</v>
      </c>
      <c r="Q644" s="288" t="str">
        <f>IFERROR(VLOOKUP(ROWS($Q$3:Q644),$M$3:$N$718,2,0),"")</f>
        <v>Výroba tapet</v>
      </c>
      <c r="R644">
        <f>IF(ISNUMBER(SEARCH('1Př1'!$A$32,N644)),MAX($M$2:M643)+1,0)</f>
        <v>642</v>
      </c>
      <c r="S644" s="287" t="s">
        <v>2065</v>
      </c>
      <c r="T644" t="str">
        <f>IFERROR(VLOOKUP(ROWS($T$3:T644),$R$3:$S$718,2,0),"")</f>
        <v>Velkoobchod s porcelán.,keram.a skleněnými výrobky a čisticími prostř.</v>
      </c>
      <c r="U644">
        <f>IF(ISNUMBER(SEARCH('1Př1'!$A$33,N644)),MAX($M$2:M643)+1,0)</f>
        <v>642</v>
      </c>
      <c r="V644" s="287" t="s">
        <v>2065</v>
      </c>
      <c r="W644" t="str">
        <f>IFERROR(VLOOKUP(ROWS($W$3:W644),$U$3:$V$718,2,0),"")</f>
        <v>Velkoobchod s porcelán.,keram.a skleněnými výrobky a čisticími prostř.</v>
      </c>
      <c r="X644">
        <f>IF(ISNUMBER(SEARCH('1Př1'!$A$34,N644)),MAX($M$2:M643)+1,0)</f>
        <v>642</v>
      </c>
      <c r="Y644" s="287" t="s">
        <v>2065</v>
      </c>
      <c r="Z644" t="str">
        <f>IFERROR(VLOOKUP(ROWS($Z$3:Z644),$X$3:$Y$718,2,0),"")</f>
        <v>Velkoobchod s porcelán.,keram.a skleněnými výrobky a čisticími prostř.</v>
      </c>
    </row>
    <row r="645" spans="13:26">
      <c r="M645" s="286">
        <f>IF(ISNUMBER(SEARCH(ZAKL_DATA!$B$29,N645)),MAX($M$2:M644)+1,0)</f>
        <v>643</v>
      </c>
      <c r="N645" s="791" t="s">
        <v>1878</v>
      </c>
      <c r="O645" s="791" t="s">
        <v>4075</v>
      </c>
      <c r="Q645" s="288" t="str">
        <f>IFERROR(VLOOKUP(ROWS($Q$3:Q645),$M$3:$N$718,2,0),"")</f>
        <v>Výroba technických plynů</v>
      </c>
      <c r="R645">
        <f>IF(ISNUMBER(SEARCH('1Př1'!$A$32,N645)),MAX($M$2:M644)+1,0)</f>
        <v>643</v>
      </c>
      <c r="S645" s="287" t="s">
        <v>2066</v>
      </c>
      <c r="T645" t="str">
        <f>IFERROR(VLOOKUP(ROWS($T$3:T645),$R$3:$S$718,2,0),"")</f>
        <v>Velkoobchod s kosmetickými výrobky</v>
      </c>
      <c r="U645">
        <f>IF(ISNUMBER(SEARCH('1Př1'!$A$33,N645)),MAX($M$2:M644)+1,0)</f>
        <v>643</v>
      </c>
      <c r="V645" s="287" t="s">
        <v>2066</v>
      </c>
      <c r="W645" t="str">
        <f>IFERROR(VLOOKUP(ROWS($W$3:W645),$U$3:$V$718,2,0),"")</f>
        <v>Velkoobchod s kosmetickými výrobky</v>
      </c>
      <c r="X645">
        <f>IF(ISNUMBER(SEARCH('1Př1'!$A$34,N645)),MAX($M$2:M644)+1,0)</f>
        <v>643</v>
      </c>
      <c r="Y645" s="287" t="s">
        <v>2066</v>
      </c>
      <c r="Z645" t="str">
        <f>IFERROR(VLOOKUP(ROWS($Z$3:Z645),$X$3:$Y$718,2,0),"")</f>
        <v>Velkoobchod s kosmetickými výrobky</v>
      </c>
    </row>
    <row r="646" spans="13:26" ht="25.5">
      <c r="M646" s="286">
        <f>IF(ISNUMBER(SEARCH(ZAKL_DATA!$B$29,N646)),MAX($M$2:M645)+1,0)</f>
        <v>644</v>
      </c>
      <c r="N646" s="791" t="s">
        <v>4076</v>
      </c>
      <c r="O646" s="791" t="s">
        <v>4077</v>
      </c>
      <c r="Q646" s="288" t="str">
        <f>IFERROR(VLOOKUP(ROWS($Q$3:Q646),$M$3:$N$718,2,0),"")</f>
        <v>Výroba tvářecích a obráběcích strojů na opracování kovů</v>
      </c>
      <c r="R646">
        <f>IF(ISNUMBER(SEARCH('1Př1'!$A$32,N646)),MAX($M$2:M645)+1,0)</f>
        <v>644</v>
      </c>
      <c r="S646" s="287" t="s">
        <v>2067</v>
      </c>
      <c r="T646" t="str">
        <f>IFERROR(VLOOKUP(ROWS($T$3:T646),$R$3:$S$718,2,0),"")</f>
        <v>Velkoobchod s farmaceutickými výrobky</v>
      </c>
      <c r="U646">
        <f>IF(ISNUMBER(SEARCH('1Př1'!$A$33,N646)),MAX($M$2:M645)+1,0)</f>
        <v>644</v>
      </c>
      <c r="V646" s="287" t="s">
        <v>2067</v>
      </c>
      <c r="W646" t="str">
        <f>IFERROR(VLOOKUP(ROWS($W$3:W646),$U$3:$V$718,2,0),"")</f>
        <v>Velkoobchod s farmaceutickými výrobky</v>
      </c>
      <c r="X646">
        <f>IF(ISNUMBER(SEARCH('1Př1'!$A$34,N646)),MAX($M$2:M645)+1,0)</f>
        <v>644</v>
      </c>
      <c r="Y646" s="287" t="s">
        <v>2067</v>
      </c>
      <c r="Z646" t="str">
        <f>IFERROR(VLOOKUP(ROWS($Z$3:Z646),$X$3:$Y$718,2,0),"")</f>
        <v>Velkoobchod s farmaceutickými výrobky</v>
      </c>
    </row>
    <row r="647" spans="13:26" ht="25.5">
      <c r="M647" s="286">
        <f>IF(ISNUMBER(SEARCH(ZAKL_DATA!$B$29,N647)),MAX($M$2:M646)+1,0)</f>
        <v>645</v>
      </c>
      <c r="N647" s="791" t="s">
        <v>4078</v>
      </c>
      <c r="O647" s="791" t="s">
        <v>4079</v>
      </c>
      <c r="Q647" s="288" t="str">
        <f>IFERROR(VLOOKUP(ROWS($Q$3:Q647),$M$3:$N$718,2,0),"")</f>
        <v>Výroba tyčí a prutů ze železa nebo oceli válcovaných za tepla</v>
      </c>
      <c r="R647">
        <f>IF(ISNUMBER(SEARCH('1Př1'!$A$32,N647)),MAX($M$2:M646)+1,0)</f>
        <v>645</v>
      </c>
      <c r="S647" s="287" t="s">
        <v>2068</v>
      </c>
      <c r="T647" t="str">
        <f>IFERROR(VLOOKUP(ROWS($T$3:T647),$R$3:$S$718,2,0),"")</f>
        <v>Velkoobchod s nábytkem, koberci a svítidly</v>
      </c>
      <c r="U647">
        <f>IF(ISNUMBER(SEARCH('1Př1'!$A$33,N647)),MAX($M$2:M646)+1,0)</f>
        <v>645</v>
      </c>
      <c r="V647" s="287" t="s">
        <v>2068</v>
      </c>
      <c r="W647" t="str">
        <f>IFERROR(VLOOKUP(ROWS($W$3:W647),$U$3:$V$718,2,0),"")</f>
        <v>Velkoobchod s nábytkem, koberci a svítidly</v>
      </c>
      <c r="X647">
        <f>IF(ISNUMBER(SEARCH('1Př1'!$A$34,N647)),MAX($M$2:M646)+1,0)</f>
        <v>645</v>
      </c>
      <c r="Y647" s="287" t="s">
        <v>2068</v>
      </c>
      <c r="Z647" t="str">
        <f>IFERROR(VLOOKUP(ROWS($Z$3:Z647),$X$3:$Y$718,2,0),"")</f>
        <v>Velkoobchod s nábytkem, koberci a svítidly</v>
      </c>
    </row>
    <row r="648" spans="13:26">
      <c r="M648" s="286">
        <f>IF(ISNUMBER(SEARCH(ZAKL_DATA!$B$29,N648)),MAX($M$2:M647)+1,0)</f>
        <v>646</v>
      </c>
      <c r="N648" s="791" t="s">
        <v>1910</v>
      </c>
      <c r="O648" s="791" t="s">
        <v>4080</v>
      </c>
      <c r="Q648" s="288" t="str">
        <f>IFERROR(VLOOKUP(ROWS($Q$3:Q648),$M$3:$N$718,2,0),"")</f>
        <v>Výroba vápna a sádry</v>
      </c>
      <c r="R648">
        <f>IF(ISNUMBER(SEARCH('1Př1'!$A$32,N648)),MAX($M$2:M647)+1,0)</f>
        <v>646</v>
      </c>
      <c r="S648" s="287" t="s">
        <v>2069</v>
      </c>
      <c r="T648" t="str">
        <f>IFERROR(VLOOKUP(ROWS($T$3:T648),$R$3:$S$718,2,0),"")</f>
        <v>Velkoobchod s hodinami, hodinkami a klenoty</v>
      </c>
      <c r="U648">
        <f>IF(ISNUMBER(SEARCH('1Př1'!$A$33,N648)),MAX($M$2:M647)+1,0)</f>
        <v>646</v>
      </c>
      <c r="V648" s="287" t="s">
        <v>2069</v>
      </c>
      <c r="W648" t="str">
        <f>IFERROR(VLOOKUP(ROWS($W$3:W648),$U$3:$V$718,2,0),"")</f>
        <v>Velkoobchod s hodinami, hodinkami a klenoty</v>
      </c>
      <c r="X648">
        <f>IF(ISNUMBER(SEARCH('1Př1'!$A$34,N648)),MAX($M$2:M647)+1,0)</f>
        <v>646</v>
      </c>
      <c r="Y648" s="287" t="s">
        <v>2069</v>
      </c>
      <c r="Z648" t="str">
        <f>IFERROR(VLOOKUP(ROWS($Z$3:Z648),$X$3:$Y$718,2,0),"")</f>
        <v>Velkoobchod s hodinami, hodinkami a klenoty</v>
      </c>
    </row>
    <row r="649" spans="13:26">
      <c r="M649" s="286">
        <f>IF(ISNUMBER(SEARCH(ZAKL_DATA!$B$29,N649)),MAX($M$2:M648)+1,0)</f>
        <v>647</v>
      </c>
      <c r="N649" s="791" t="s">
        <v>1836</v>
      </c>
      <c r="O649" s="791" t="s">
        <v>4081</v>
      </c>
      <c r="Q649" s="288" t="str">
        <f>IFERROR(VLOOKUP(ROWS($Q$3:Q649),$M$3:$N$718,2,0),"")</f>
        <v>Výroba vína z vinných hroznů</v>
      </c>
      <c r="R649">
        <f>IF(ISNUMBER(SEARCH('1Př1'!$A$32,N649)),MAX($M$2:M648)+1,0)</f>
        <v>647</v>
      </c>
      <c r="S649" s="287" t="s">
        <v>2070</v>
      </c>
      <c r="T649" t="str">
        <f>IFERROR(VLOOKUP(ROWS($T$3:T649),$R$3:$S$718,2,0),"")</f>
        <v>Velkoobchod s ostatními výrobky převážně pro domácnost</v>
      </c>
      <c r="U649">
        <f>IF(ISNUMBER(SEARCH('1Př1'!$A$33,N649)),MAX($M$2:M648)+1,0)</f>
        <v>647</v>
      </c>
      <c r="V649" s="287" t="s">
        <v>2070</v>
      </c>
      <c r="W649" t="str">
        <f>IFERROR(VLOOKUP(ROWS($W$3:W649),$U$3:$V$718,2,0),"")</f>
        <v>Velkoobchod s ostatními výrobky převážně pro domácnost</v>
      </c>
      <c r="X649">
        <f>IF(ISNUMBER(SEARCH('1Př1'!$A$34,N649)),MAX($M$2:M648)+1,0)</f>
        <v>647</v>
      </c>
      <c r="Y649" s="287" t="s">
        <v>2070</v>
      </c>
      <c r="Z649" t="str">
        <f>IFERROR(VLOOKUP(ROWS($Z$3:Z649),$X$3:$Y$718,2,0),"")</f>
        <v>Velkoobchod s ostatními výrobky převážně pro domácnost</v>
      </c>
    </row>
    <row r="650" spans="13:26">
      <c r="M650" s="286">
        <f>IF(ISNUMBER(SEARCH(ZAKL_DATA!$B$29,N650)),MAX($M$2:M649)+1,0)</f>
        <v>648</v>
      </c>
      <c r="N650" s="791" t="s">
        <v>4082</v>
      </c>
      <c r="O650" s="791" t="s">
        <v>4083</v>
      </c>
      <c r="Q650" s="288" t="str">
        <f>IFERROR(VLOOKUP(ROWS($Q$3:Q650),$M$3:$N$718,2,0),"")</f>
        <v>Výroba vláknocementových výrobků</v>
      </c>
      <c r="R650">
        <f>IF(ISNUMBER(SEARCH('1Př1'!$A$32,N650)),MAX($M$2:M649)+1,0)</f>
        <v>648</v>
      </c>
      <c r="S650" s="287" t="s">
        <v>2071</v>
      </c>
      <c r="T650" t="str">
        <f>IFERROR(VLOOKUP(ROWS($T$3:T650),$R$3:$S$718,2,0),"")</f>
        <v>Velkoobchod s počítači, počítačovým periferním zařízením a softwarem</v>
      </c>
      <c r="U650">
        <f>IF(ISNUMBER(SEARCH('1Př1'!$A$33,N650)),MAX($M$2:M649)+1,0)</f>
        <v>648</v>
      </c>
      <c r="V650" s="287" t="s">
        <v>2071</v>
      </c>
      <c r="W650" t="str">
        <f>IFERROR(VLOOKUP(ROWS($W$3:W650),$U$3:$V$718,2,0),"")</f>
        <v>Velkoobchod s počítači, počítačovým periferním zařízením a softwarem</v>
      </c>
      <c r="X650">
        <f>IF(ISNUMBER(SEARCH('1Př1'!$A$34,N650)),MAX($M$2:M649)+1,0)</f>
        <v>648</v>
      </c>
      <c r="Y650" s="287" t="s">
        <v>2071</v>
      </c>
      <c r="Z650" t="str">
        <f>IFERROR(VLOOKUP(ROWS($Z$3:Z650),$X$3:$Y$718,2,0),"")</f>
        <v>Velkoobchod s počítači, počítačovým periferním zařízením a softwarem</v>
      </c>
    </row>
    <row r="651" spans="13:26" ht="25.5">
      <c r="M651" s="286">
        <f>IF(ISNUMBER(SEARCH(ZAKL_DATA!$B$29,N651)),MAX($M$2:M650)+1,0)</f>
        <v>649</v>
      </c>
      <c r="N651" s="791" t="s">
        <v>1869</v>
      </c>
      <c r="O651" s="791" t="s">
        <v>4084</v>
      </c>
      <c r="Q651" s="288" t="str">
        <f>IFERROR(VLOOKUP(ROWS($Q$3:Q651),$M$3:$N$718,2,0),"")</f>
        <v>Výroba vlnitého papíru a lepenky, papírových a lepenkových obalů</v>
      </c>
      <c r="R651">
        <f>IF(ISNUMBER(SEARCH('1Př1'!$A$32,N651)),MAX($M$2:M650)+1,0)</f>
        <v>649</v>
      </c>
      <c r="S651" s="287" t="s">
        <v>2072</v>
      </c>
      <c r="T651" t="str">
        <f>IFERROR(VLOOKUP(ROWS($T$3:T651),$R$3:$S$718,2,0),"")</f>
        <v>Velkoobchod s elektronickým a telekomunikačním zařízením a jeho díly</v>
      </c>
      <c r="U651">
        <f>IF(ISNUMBER(SEARCH('1Př1'!$A$33,N651)),MAX($M$2:M650)+1,0)</f>
        <v>649</v>
      </c>
      <c r="V651" s="287" t="s">
        <v>2072</v>
      </c>
      <c r="W651" t="str">
        <f>IFERROR(VLOOKUP(ROWS($W$3:W651),$U$3:$V$718,2,0),"")</f>
        <v>Velkoobchod s elektronickým a telekomunikačním zařízením a jeho díly</v>
      </c>
      <c r="X651">
        <f>IF(ISNUMBER(SEARCH('1Př1'!$A$34,N651)),MAX($M$2:M650)+1,0)</f>
        <v>649</v>
      </c>
      <c r="Y651" s="287" t="s">
        <v>2072</v>
      </c>
      <c r="Z651" t="str">
        <f>IFERROR(VLOOKUP(ROWS($Z$3:Z651),$X$3:$Y$718,2,0),"")</f>
        <v>Velkoobchod s elektronickým a telekomunikačním zařízením a jeho díly</v>
      </c>
    </row>
    <row r="652" spans="13:26">
      <c r="M652" s="286">
        <f>IF(ISNUMBER(SEARCH(ZAKL_DATA!$B$29,N652)),MAX($M$2:M651)+1,0)</f>
        <v>650</v>
      </c>
      <c r="N652" s="791" t="s">
        <v>1588</v>
      </c>
      <c r="O652" s="791" t="s">
        <v>4085</v>
      </c>
      <c r="Q652" s="288" t="str">
        <f>IFERROR(VLOOKUP(ROWS($Q$3:Q652),$M$3:$N$718,2,0),"")</f>
        <v>Výroba vojenských bojových vozidel</v>
      </c>
      <c r="R652">
        <f>IF(ISNUMBER(SEARCH('1Př1'!$A$32,N652)),MAX($M$2:M651)+1,0)</f>
        <v>650</v>
      </c>
      <c r="S652" s="287" t="s">
        <v>2073</v>
      </c>
      <c r="T652" t="str">
        <f>IFERROR(VLOOKUP(ROWS($T$3:T652),$R$3:$S$718,2,0),"")</f>
        <v>Velkoobchod se zemědělskými stroji, strojním zařízením a příslušenstvím</v>
      </c>
      <c r="U652">
        <f>IF(ISNUMBER(SEARCH('1Př1'!$A$33,N652)),MAX($M$2:M651)+1,0)</f>
        <v>650</v>
      </c>
      <c r="V652" s="287" t="s">
        <v>2073</v>
      </c>
      <c r="W652" t="str">
        <f>IFERROR(VLOOKUP(ROWS($W$3:W652),$U$3:$V$718,2,0),"")</f>
        <v>Velkoobchod se zemědělskými stroji, strojním zařízením a příslušenstvím</v>
      </c>
      <c r="X652">
        <f>IF(ISNUMBER(SEARCH('1Př1'!$A$34,N652)),MAX($M$2:M651)+1,0)</f>
        <v>650</v>
      </c>
      <c r="Y652" s="287" t="s">
        <v>2073</v>
      </c>
      <c r="Z652" t="str">
        <f>IFERROR(VLOOKUP(ROWS($Z$3:Z652),$X$3:$Y$718,2,0),"")</f>
        <v>Velkoobchod se zemědělskými stroji, strojním zařízením a příslušenstvím</v>
      </c>
    </row>
    <row r="653" spans="13:26" ht="25.5">
      <c r="M653" s="286">
        <f>IF(ISNUMBER(SEARCH(ZAKL_DATA!$B$29,N653)),MAX($M$2:M652)+1,0)</f>
        <v>651</v>
      </c>
      <c r="N653" s="791" t="s">
        <v>4086</v>
      </c>
      <c r="O653" s="791" t="s">
        <v>4087</v>
      </c>
      <c r="Q653" s="288" t="str">
        <f>IFERROR(VLOOKUP(ROWS($Q$3:Q653),$M$3:$N$718,2,0),"")</f>
        <v>Výroba vojenských letadel, kosmických lodí a souvisejících zařízení</v>
      </c>
      <c r="R653">
        <f>IF(ISNUMBER(SEARCH('1Př1'!$A$32,N653)),MAX($M$2:M652)+1,0)</f>
        <v>651</v>
      </c>
      <c r="S653" s="287" t="s">
        <v>2074</v>
      </c>
      <c r="T653" t="str">
        <f>IFERROR(VLOOKUP(ROWS($T$3:T653),$R$3:$S$718,2,0),"")</f>
        <v>Velkoobchod s obráběcími stroji</v>
      </c>
      <c r="U653">
        <f>IF(ISNUMBER(SEARCH('1Př1'!$A$33,N653)),MAX($M$2:M652)+1,0)</f>
        <v>651</v>
      </c>
      <c r="V653" s="287" t="s">
        <v>2074</v>
      </c>
      <c r="W653" t="str">
        <f>IFERROR(VLOOKUP(ROWS($W$3:W653),$U$3:$V$718,2,0),"")</f>
        <v>Velkoobchod s obráběcími stroji</v>
      </c>
      <c r="X653">
        <f>IF(ISNUMBER(SEARCH('1Př1'!$A$34,N653)),MAX($M$2:M652)+1,0)</f>
        <v>651</v>
      </c>
      <c r="Y653" s="287" t="s">
        <v>2074</v>
      </c>
      <c r="Z653" t="str">
        <f>IFERROR(VLOOKUP(ROWS($Z$3:Z653),$X$3:$Y$718,2,0),"")</f>
        <v>Velkoobchod s obráběcími stroji</v>
      </c>
    </row>
    <row r="654" spans="13:26">
      <c r="M654" s="286">
        <f>IF(ISNUMBER(SEARCH(ZAKL_DATA!$B$29,N654)),MAX($M$2:M653)+1,0)</f>
        <v>652</v>
      </c>
      <c r="N654" s="791" t="s">
        <v>1409</v>
      </c>
      <c r="O654" s="791" t="s">
        <v>4088</v>
      </c>
      <c r="Q654" s="288" t="str">
        <f>IFERROR(VLOOKUP(ROWS($Q$3:Q654),$M$3:$N$718,2,0),"")</f>
        <v>Výroba základních farmaceutických výrobků</v>
      </c>
      <c r="R654">
        <f>IF(ISNUMBER(SEARCH('1Př1'!$A$32,N654)),MAX($M$2:M653)+1,0)</f>
        <v>652</v>
      </c>
      <c r="S654" s="287" t="s">
        <v>2075</v>
      </c>
      <c r="T654" t="str">
        <f>IFERROR(VLOOKUP(ROWS($T$3:T654),$R$3:$S$718,2,0),"")</f>
        <v>Velkoobchod s těžebními a stavebními stroji a zařízením</v>
      </c>
      <c r="U654">
        <f>IF(ISNUMBER(SEARCH('1Př1'!$A$33,N654)),MAX($M$2:M653)+1,0)</f>
        <v>652</v>
      </c>
      <c r="V654" s="287" t="s">
        <v>2075</v>
      </c>
      <c r="W654" t="str">
        <f>IFERROR(VLOOKUP(ROWS($W$3:W654),$U$3:$V$718,2,0),"")</f>
        <v>Velkoobchod s těžebními a stavebními stroji a zařízením</v>
      </c>
      <c r="X654">
        <f>IF(ISNUMBER(SEARCH('1Př1'!$A$34,N654)),MAX($M$2:M653)+1,0)</f>
        <v>652</v>
      </c>
      <c r="Y654" s="287" t="s">
        <v>2075</v>
      </c>
      <c r="Z654" t="str">
        <f>IFERROR(VLOOKUP(ROWS($Z$3:Z654),$X$3:$Y$718,2,0),"")</f>
        <v>Velkoobchod s těžebními a stavebními stroji a zařízením</v>
      </c>
    </row>
    <row r="655" spans="13:26" ht="25.5">
      <c r="M655" s="286">
        <f>IF(ISNUMBER(SEARCH(ZAKL_DATA!$B$29,N655)),MAX($M$2:M654)+1,0)</f>
        <v>653</v>
      </c>
      <c r="N655" s="791" t="s">
        <v>4089</v>
      </c>
      <c r="O655" s="791" t="s">
        <v>4090</v>
      </c>
      <c r="Q655" s="288" t="str">
        <f>IFERROR(VLOOKUP(ROWS($Q$3:Q655),$M$3:$N$718,2,0),"")</f>
        <v>Výroba základních hutních výrobků ze železa a oceli, výroba surového železa a oceli</v>
      </c>
      <c r="R655">
        <f>IF(ISNUMBER(SEARCH('1Př1'!$A$32,N655)),MAX($M$2:M654)+1,0)</f>
        <v>653</v>
      </c>
      <c r="S655" s="287" t="s">
        <v>2076</v>
      </c>
      <c r="T655" t="str">
        <f>IFERROR(VLOOKUP(ROWS($T$3:T655),$R$3:$S$718,2,0),"")</f>
        <v>Velkoobchod se strojním zařízením pro text.průmysl,šicími a plet.stroji</v>
      </c>
      <c r="U655">
        <f>IF(ISNUMBER(SEARCH('1Př1'!$A$33,N655)),MAX($M$2:M654)+1,0)</f>
        <v>653</v>
      </c>
      <c r="V655" s="287" t="s">
        <v>2076</v>
      </c>
      <c r="W655" t="str">
        <f>IFERROR(VLOOKUP(ROWS($W$3:W655),$U$3:$V$718,2,0),"")</f>
        <v>Velkoobchod se strojním zařízením pro text.průmysl,šicími a plet.stroji</v>
      </c>
      <c r="X655">
        <f>IF(ISNUMBER(SEARCH('1Př1'!$A$34,N655)),MAX($M$2:M654)+1,0)</f>
        <v>653</v>
      </c>
      <c r="Y655" s="287" t="s">
        <v>2076</v>
      </c>
      <c r="Z655" t="str">
        <f>IFERROR(VLOOKUP(ROWS($Z$3:Z655),$X$3:$Y$718,2,0),"")</f>
        <v>Velkoobchod se strojním zařízením pro text.průmysl,šicími a plet.stroji</v>
      </c>
    </row>
    <row r="656" spans="13:26">
      <c r="M656" s="286">
        <f>IF(ISNUMBER(SEARCH(ZAKL_DATA!$B$29,N656)),MAX($M$2:M655)+1,0)</f>
        <v>654</v>
      </c>
      <c r="N656" s="791" t="s">
        <v>1940</v>
      </c>
      <c r="O656" s="791" t="s">
        <v>4091</v>
      </c>
      <c r="Q656" s="288" t="str">
        <f>IFERROR(VLOOKUP(ROWS($Q$3:Q656),$M$3:$N$718,2,0),"")</f>
        <v>Výroba zámků a kování</v>
      </c>
      <c r="R656">
        <f>IF(ISNUMBER(SEARCH('1Př1'!$A$32,N656)),MAX($M$2:M655)+1,0)</f>
        <v>654</v>
      </c>
      <c r="S656" s="287" t="s">
        <v>2077</v>
      </c>
      <c r="T656" t="str">
        <f>IFERROR(VLOOKUP(ROWS($T$3:T656),$R$3:$S$718,2,0),"")</f>
        <v>Velkoobchod s kancelářským nábytkem</v>
      </c>
      <c r="U656">
        <f>IF(ISNUMBER(SEARCH('1Př1'!$A$33,N656)),MAX($M$2:M655)+1,0)</f>
        <v>654</v>
      </c>
      <c r="V656" s="287" t="s">
        <v>2077</v>
      </c>
      <c r="W656" t="str">
        <f>IFERROR(VLOOKUP(ROWS($W$3:W656),$U$3:$V$718,2,0),"")</f>
        <v>Velkoobchod s kancelářským nábytkem</v>
      </c>
      <c r="X656">
        <f>IF(ISNUMBER(SEARCH('1Př1'!$A$34,N656)),MAX($M$2:M655)+1,0)</f>
        <v>654</v>
      </c>
      <c r="Y656" s="287" t="s">
        <v>2077</v>
      </c>
      <c r="Z656" t="str">
        <f>IFERROR(VLOOKUP(ROWS($Z$3:Z656),$X$3:$Y$718,2,0),"")</f>
        <v>Velkoobchod s kancelářským nábytkem</v>
      </c>
    </row>
    <row r="657" spans="13:26" ht="25.5">
      <c r="M657" s="286">
        <f>IF(ISNUMBER(SEARCH(ZAKL_DATA!$B$29,N657)),MAX($M$2:M656)+1,0)</f>
        <v>655</v>
      </c>
      <c r="N657" s="791" t="s">
        <v>4092</v>
      </c>
      <c r="O657" s="791" t="s">
        <v>4093</v>
      </c>
      <c r="Q657" s="288" t="str">
        <f>IFERROR(VLOOKUP(ROWS($Q$3:Q657),$M$3:$N$718,2,0),"")</f>
        <v>Výroba zavazadel, kabelek, sedlářských a řemenářských výrobků z jakýchkoli materiálů</v>
      </c>
      <c r="R657">
        <f>IF(ISNUMBER(SEARCH('1Př1'!$A$32,N657)),MAX($M$2:M656)+1,0)</f>
        <v>655</v>
      </c>
      <c r="S657" s="287" t="s">
        <v>2078</v>
      </c>
      <c r="T657" t="str">
        <f>IFERROR(VLOOKUP(ROWS($T$3:T657),$R$3:$S$718,2,0),"")</f>
        <v>Velkoobchod s ostatními kancelářskými stroji a zařízením</v>
      </c>
      <c r="U657">
        <f>IF(ISNUMBER(SEARCH('1Př1'!$A$33,N657)),MAX($M$2:M656)+1,0)</f>
        <v>655</v>
      </c>
      <c r="V657" s="287" t="s">
        <v>2078</v>
      </c>
      <c r="W657" t="str">
        <f>IFERROR(VLOOKUP(ROWS($W$3:W657),$U$3:$V$718,2,0),"")</f>
        <v>Velkoobchod s ostatními kancelářskými stroji a zařízením</v>
      </c>
      <c r="X657">
        <f>IF(ISNUMBER(SEARCH('1Př1'!$A$34,N657)),MAX($M$2:M656)+1,0)</f>
        <v>655</v>
      </c>
      <c r="Y657" s="287" t="s">
        <v>2078</v>
      </c>
      <c r="Z657" t="str">
        <f>IFERROR(VLOOKUP(ROWS($Z$3:Z657),$X$3:$Y$718,2,0),"")</f>
        <v>Velkoobchod s ostatními kancelářskými stroji a zařízením</v>
      </c>
    </row>
    <row r="658" spans="13:26">
      <c r="M658" s="286">
        <f>IF(ISNUMBER(SEARCH(ZAKL_DATA!$B$29,N658)),MAX($M$2:M657)+1,0)</f>
        <v>656</v>
      </c>
      <c r="N658" s="791" t="s">
        <v>1489</v>
      </c>
      <c r="O658" s="791" t="s">
        <v>4094</v>
      </c>
      <c r="Q658" s="288" t="str">
        <f>IFERROR(VLOOKUP(ROWS($Q$3:Q658),$M$3:$N$718,2,0),"")</f>
        <v>Výroba zbraní a střeliva</v>
      </c>
      <c r="R658">
        <f>IF(ISNUMBER(SEARCH('1Př1'!$A$32,N658)),MAX($M$2:M657)+1,0)</f>
        <v>656</v>
      </c>
      <c r="S658" s="287" t="s">
        <v>2079</v>
      </c>
      <c r="T658" t="str">
        <f>IFERROR(VLOOKUP(ROWS($T$3:T658),$R$3:$S$718,2,0),"")</f>
        <v>Velkoobchod s ostatními stroji a zařízením</v>
      </c>
      <c r="U658">
        <f>IF(ISNUMBER(SEARCH('1Př1'!$A$33,N658)),MAX($M$2:M657)+1,0)</f>
        <v>656</v>
      </c>
      <c r="V658" s="287" t="s">
        <v>2079</v>
      </c>
      <c r="W658" t="str">
        <f>IFERROR(VLOOKUP(ROWS($W$3:W658),$U$3:$V$718,2,0),"")</f>
        <v>Velkoobchod s ostatními stroji a zařízením</v>
      </c>
      <c r="X658">
        <f>IF(ISNUMBER(SEARCH('1Př1'!$A$34,N658)),MAX($M$2:M657)+1,0)</f>
        <v>656</v>
      </c>
      <c r="Y658" s="287" t="s">
        <v>2079</v>
      </c>
      <c r="Z658" t="str">
        <f>IFERROR(VLOOKUP(ROWS($Z$3:Z658),$X$3:$Y$718,2,0),"")</f>
        <v>Velkoobchod s ostatními stroji a zařízením</v>
      </c>
    </row>
    <row r="659" spans="13:26">
      <c r="M659" s="286">
        <f>IF(ISNUMBER(SEARCH(ZAKL_DATA!$B$29,N659)),MAX($M$2:M658)+1,0)</f>
        <v>657</v>
      </c>
      <c r="N659" s="791" t="s">
        <v>1964</v>
      </c>
      <c r="O659" s="791" t="s">
        <v>4095</v>
      </c>
      <c r="Q659" s="288" t="str">
        <f>IFERROR(VLOOKUP(ROWS($Q$3:Q659),$M$3:$N$718,2,0),"")</f>
        <v>Výroba zdvihacích a manipulačních zařízení</v>
      </c>
      <c r="R659">
        <f>IF(ISNUMBER(SEARCH('1Př1'!$A$32,N659)),MAX($M$2:M658)+1,0)</f>
        <v>657</v>
      </c>
      <c r="S659" s="287" t="s">
        <v>2080</v>
      </c>
      <c r="T659" t="str">
        <f>IFERROR(VLOOKUP(ROWS($T$3:T659),$R$3:$S$718,2,0),"")</f>
        <v>Velkoobchod s pevnými, kapalnými a plynnými palivy a příbuznými výrobky</v>
      </c>
      <c r="U659">
        <f>IF(ISNUMBER(SEARCH('1Př1'!$A$33,N659)),MAX($M$2:M658)+1,0)</f>
        <v>657</v>
      </c>
      <c r="V659" s="287" t="s">
        <v>2080</v>
      </c>
      <c r="W659" t="str">
        <f>IFERROR(VLOOKUP(ROWS($W$3:W659),$U$3:$V$718,2,0),"")</f>
        <v>Velkoobchod s pevnými, kapalnými a plynnými palivy a příbuznými výrobky</v>
      </c>
      <c r="X659">
        <f>IF(ISNUMBER(SEARCH('1Př1'!$A$34,N659)),MAX($M$2:M658)+1,0)</f>
        <v>657</v>
      </c>
      <c r="Y659" s="287" t="s">
        <v>2080</v>
      </c>
      <c r="Z659" t="str">
        <f>IFERROR(VLOOKUP(ROWS($Z$3:Z659),$X$3:$Y$718,2,0),"")</f>
        <v>Velkoobchod s pevnými, kapalnými a plynnými palivy a příbuznými výrobky</v>
      </c>
    </row>
    <row r="660" spans="13:26">
      <c r="M660" s="286">
        <f>IF(ISNUMBER(SEARCH(ZAKL_DATA!$B$29,N660)),MAX($M$2:M659)+1,0)</f>
        <v>658</v>
      </c>
      <c r="N660" s="791" t="s">
        <v>1561</v>
      </c>
      <c r="O660" s="791" t="s">
        <v>4096</v>
      </c>
      <c r="Q660" s="288" t="str">
        <f>IFERROR(VLOOKUP(ROWS($Q$3:Q660),$M$3:$N$718,2,0),"")</f>
        <v>Výroba zemědělských a lesnických strojů</v>
      </c>
      <c r="R660">
        <f>IF(ISNUMBER(SEARCH('1Př1'!$A$32,N660)),MAX($M$2:M659)+1,0)</f>
        <v>658</v>
      </c>
      <c r="S660" s="287" t="s">
        <v>2081</v>
      </c>
      <c r="T660" t="str">
        <f>IFERROR(VLOOKUP(ROWS($T$3:T660),$R$3:$S$718,2,0),"")</f>
        <v>Velkoobchod s rudami, kovy a hutními výrobky</v>
      </c>
      <c r="U660">
        <f>IF(ISNUMBER(SEARCH('1Př1'!$A$33,N660)),MAX($M$2:M659)+1,0)</f>
        <v>658</v>
      </c>
      <c r="V660" s="287" t="s">
        <v>2081</v>
      </c>
      <c r="W660" t="str">
        <f>IFERROR(VLOOKUP(ROWS($W$3:W660),$U$3:$V$718,2,0),"")</f>
        <v>Velkoobchod s rudami, kovy a hutními výrobky</v>
      </c>
      <c r="X660">
        <f>IF(ISNUMBER(SEARCH('1Př1'!$A$34,N660)),MAX($M$2:M659)+1,0)</f>
        <v>658</v>
      </c>
      <c r="Y660" s="287" t="s">
        <v>2081</v>
      </c>
      <c r="Z660" t="str">
        <f>IFERROR(VLOOKUP(ROWS($Z$3:Z660),$X$3:$Y$718,2,0),"")</f>
        <v>Velkoobchod s rudami, kovy a hutními výrobky</v>
      </c>
    </row>
    <row r="661" spans="13:26">
      <c r="M661" s="286">
        <f>IF(ISNUMBER(SEARCH(ZAKL_DATA!$B$29,N661)),MAX($M$2:M660)+1,0)</f>
        <v>659</v>
      </c>
      <c r="N661" s="791" t="s">
        <v>4097</v>
      </c>
      <c r="O661" s="791" t="s">
        <v>4098</v>
      </c>
      <c r="Q661" s="288" t="str">
        <f>IFERROR(VLOOKUP(ROWS($Q$3:Q661),$M$3:$N$718,2,0),"")</f>
        <v>Výroba zmrzliny a ledu k lidské spotřebě</v>
      </c>
      <c r="R661">
        <f>IF(ISNUMBER(SEARCH('1Př1'!$A$32,N661)),MAX($M$2:M660)+1,0)</f>
        <v>659</v>
      </c>
      <c r="S661" s="287" t="s">
        <v>2082</v>
      </c>
      <c r="T661" t="str">
        <f>IFERROR(VLOOKUP(ROWS($T$3:T661),$R$3:$S$718,2,0),"")</f>
        <v>Velkoobchod se dřevem, stavebními materiály a sanitárním vybavením</v>
      </c>
      <c r="U661">
        <f>IF(ISNUMBER(SEARCH('1Př1'!$A$33,N661)),MAX($M$2:M660)+1,0)</f>
        <v>659</v>
      </c>
      <c r="V661" s="287" t="s">
        <v>2082</v>
      </c>
      <c r="W661" t="str">
        <f>IFERROR(VLOOKUP(ROWS($W$3:W661),$U$3:$V$718,2,0),"")</f>
        <v>Velkoobchod se dřevem, stavebními materiály a sanitárním vybavením</v>
      </c>
      <c r="X661">
        <f>IF(ISNUMBER(SEARCH('1Př1'!$A$34,N661)),MAX($M$2:M660)+1,0)</f>
        <v>659</v>
      </c>
      <c r="Y661" s="287" t="s">
        <v>2082</v>
      </c>
      <c r="Z661" t="str">
        <f>IFERROR(VLOOKUP(ROWS($Z$3:Z661),$X$3:$Y$718,2,0),"")</f>
        <v>Velkoobchod se dřevem, stavebními materiály a sanitárním vybavením</v>
      </c>
    </row>
    <row r="662" spans="13:26">
      <c r="M662" s="286">
        <f>IF(ISNUMBER(SEARCH(ZAKL_DATA!$B$29,N662)),MAX($M$2:M661)+1,0)</f>
        <v>660</v>
      </c>
      <c r="N662" s="791" t="s">
        <v>1429</v>
      </c>
      <c r="O662" s="791" t="s">
        <v>4099</v>
      </c>
      <c r="Q662" s="288" t="str">
        <f>IFERROR(VLOOKUP(ROWS($Q$3:Q662),$M$3:$N$718,2,0),"")</f>
        <v>Výroba žáruvzdorných výrobků</v>
      </c>
      <c r="R662">
        <f>IF(ISNUMBER(SEARCH('1Př1'!$A$32,N662)),MAX($M$2:M661)+1,0)</f>
        <v>660</v>
      </c>
      <c r="S662" s="287" t="s">
        <v>2083</v>
      </c>
      <c r="T662" t="str">
        <f>IFERROR(VLOOKUP(ROWS($T$3:T662),$R$3:$S$718,2,0),"")</f>
        <v>Velkoobchod s železářským zbožím,instalatér.a topenářskými potřebami</v>
      </c>
      <c r="U662">
        <f>IF(ISNUMBER(SEARCH('1Př1'!$A$33,N662)),MAX($M$2:M661)+1,0)</f>
        <v>660</v>
      </c>
      <c r="V662" s="287" t="s">
        <v>2083</v>
      </c>
      <c r="W662" t="str">
        <f>IFERROR(VLOOKUP(ROWS($W$3:W662),$U$3:$V$718,2,0),"")</f>
        <v>Velkoobchod s železářským zbožím,instalatér.a topenářskými potřebami</v>
      </c>
      <c r="X662">
        <f>IF(ISNUMBER(SEARCH('1Př1'!$A$34,N662)),MAX($M$2:M661)+1,0)</f>
        <v>660</v>
      </c>
      <c r="Y662" s="287" t="s">
        <v>2083</v>
      </c>
      <c r="Z662" t="str">
        <f>IFERROR(VLOOKUP(ROWS($Z$3:Z662),$X$3:$Y$718,2,0),"")</f>
        <v>Velkoobchod s železářským zbožím,instalatér.a topenářskými potřebami</v>
      </c>
    </row>
    <row r="663" spans="13:26">
      <c r="M663" s="286">
        <f>IF(ISNUMBER(SEARCH(ZAKL_DATA!$B$29,N663)),MAX($M$2:M662)+1,0)</f>
        <v>661</v>
      </c>
      <c r="N663" s="791" t="s">
        <v>4100</v>
      </c>
      <c r="O663" s="791" t="s">
        <v>4101</v>
      </c>
      <c r="Q663" s="288" t="str">
        <f>IFERROR(VLOOKUP(ROWS($Q$3:Q663),$M$3:$N$718,2,0),"")</f>
        <v>Výroba železničních lokomotiv a kolejových vozidel</v>
      </c>
      <c r="R663">
        <f>IF(ISNUMBER(SEARCH('1Př1'!$A$32,N663)),MAX($M$2:M662)+1,0)</f>
        <v>661</v>
      </c>
      <c r="S663" s="287" t="s">
        <v>2084</v>
      </c>
      <c r="T663" t="str">
        <f>IFERROR(VLOOKUP(ROWS($T$3:T663),$R$3:$S$718,2,0),"")</f>
        <v>Velkoobchod s chemickými výrobky</v>
      </c>
      <c r="U663">
        <f>IF(ISNUMBER(SEARCH('1Př1'!$A$33,N663)),MAX($M$2:M662)+1,0)</f>
        <v>661</v>
      </c>
      <c r="V663" s="287" t="s">
        <v>2084</v>
      </c>
      <c r="W663" t="str">
        <f>IFERROR(VLOOKUP(ROWS($W$3:W663),$U$3:$V$718,2,0),"")</f>
        <v>Velkoobchod s chemickými výrobky</v>
      </c>
      <c r="X663">
        <f>IF(ISNUMBER(SEARCH('1Př1'!$A$34,N663)),MAX($M$2:M662)+1,0)</f>
        <v>661</v>
      </c>
      <c r="Y663" s="287" t="s">
        <v>2084</v>
      </c>
      <c r="Z663" t="str">
        <f>IFERROR(VLOOKUP(ROWS($Z$3:Z663),$X$3:$Y$718,2,0),"")</f>
        <v>Velkoobchod s chemickými výrobky</v>
      </c>
    </row>
    <row r="664" spans="13:26">
      <c r="M664" s="286">
        <f>IF(ISNUMBER(SEARCH(ZAKL_DATA!$B$29,N664)),MAX($M$2:M663)+1,0)</f>
        <v>662</v>
      </c>
      <c r="N664" s="791" t="s">
        <v>4102</v>
      </c>
      <c r="O664" s="791" t="s">
        <v>4103</v>
      </c>
      <c r="Q664" s="288" t="str">
        <f>IFERROR(VLOOKUP(ROWS($Q$3:Q664),$M$3:$N$718,2,0),"")</f>
        <v>Výrobu ledu pro chladicí účely</v>
      </c>
      <c r="R664">
        <f>IF(ISNUMBER(SEARCH('1Př1'!$A$32,N664)),MAX($M$2:M663)+1,0)</f>
        <v>662</v>
      </c>
      <c r="S664" s="287" t="s">
        <v>2085</v>
      </c>
      <c r="T664" t="str">
        <f>IFERROR(VLOOKUP(ROWS($T$3:T664),$R$3:$S$718,2,0),"")</f>
        <v>Velkoobchod s ostatními meziprodukty</v>
      </c>
      <c r="U664">
        <f>IF(ISNUMBER(SEARCH('1Př1'!$A$33,N664)),MAX($M$2:M663)+1,0)</f>
        <v>662</v>
      </c>
      <c r="V664" s="287" t="s">
        <v>2085</v>
      </c>
      <c r="W664" t="str">
        <f>IFERROR(VLOOKUP(ROWS($W$3:W664),$U$3:$V$718,2,0),"")</f>
        <v>Velkoobchod s ostatními meziprodukty</v>
      </c>
      <c r="X664">
        <f>IF(ISNUMBER(SEARCH('1Př1'!$A$34,N664)),MAX($M$2:M663)+1,0)</f>
        <v>662</v>
      </c>
      <c r="Y664" s="287" t="s">
        <v>2085</v>
      </c>
      <c r="Z664" t="str">
        <f>IFERROR(VLOOKUP(ROWS($Z$3:Z664),$X$3:$Y$718,2,0),"")</f>
        <v>Velkoobchod s ostatními meziprodukty</v>
      </c>
    </row>
    <row r="665" spans="13:26">
      <c r="M665" s="286">
        <f>IF(ISNUMBER(SEARCH(ZAKL_DATA!$B$29,N665)),MAX($M$2:M664)+1,0)</f>
        <v>663</v>
      </c>
      <c r="N665" s="791" t="s">
        <v>1651</v>
      </c>
      <c r="O665" s="791" t="s">
        <v>4104</v>
      </c>
      <c r="Q665" s="288" t="str">
        <f>IFERROR(VLOOKUP(ROWS($Q$3:Q665),$M$3:$N$718,2,0),"")</f>
        <v>Výstavba bytových a nebytových budov</v>
      </c>
      <c r="R665">
        <f>IF(ISNUMBER(SEARCH('1Př1'!$A$32,N665)),MAX($M$2:M664)+1,0)</f>
        <v>663</v>
      </c>
      <c r="S665" s="287" t="s">
        <v>2086</v>
      </c>
      <c r="T665" t="str">
        <f>IFERROR(VLOOKUP(ROWS($T$3:T665),$R$3:$S$718,2,0),"")</f>
        <v>Velkoobchod s odpadem a šrotem</v>
      </c>
      <c r="U665">
        <f>IF(ISNUMBER(SEARCH('1Př1'!$A$33,N665)),MAX($M$2:M664)+1,0)</f>
        <v>663</v>
      </c>
      <c r="V665" s="287" t="s">
        <v>2086</v>
      </c>
      <c r="W665" t="str">
        <f>IFERROR(VLOOKUP(ROWS($W$3:W665),$U$3:$V$718,2,0),"")</f>
        <v>Velkoobchod s odpadem a šrotem</v>
      </c>
      <c r="X665">
        <f>IF(ISNUMBER(SEARCH('1Př1'!$A$34,N665)),MAX($M$2:M664)+1,0)</f>
        <v>663</v>
      </c>
      <c r="Y665" s="287" t="s">
        <v>2086</v>
      </c>
      <c r="Z665" t="str">
        <f>IFERROR(VLOOKUP(ROWS($Z$3:Z665),$X$3:$Y$718,2,0),"")</f>
        <v>Velkoobchod s odpadem a šrotem</v>
      </c>
    </row>
    <row r="666" spans="13:26" ht="25.5">
      <c r="M666" s="286">
        <f>IF(ISNUMBER(SEARCH(ZAKL_DATA!$B$29,N666)),MAX($M$2:M665)+1,0)</f>
        <v>664</v>
      </c>
      <c r="N666" s="791" t="s">
        <v>2020</v>
      </c>
      <c r="O666" s="791" t="s">
        <v>4105</v>
      </c>
      <c r="Q666" s="288" t="str">
        <f>IFERROR(VLOOKUP(ROWS($Q$3:Q666),$M$3:$N$718,2,0),"")</f>
        <v>Výstavba inženýrských sítí pro elektřinu a telekomunikace</v>
      </c>
      <c r="R666">
        <f>IF(ISNUMBER(SEARCH('1Př1'!$A$32,N666)),MAX($M$2:M665)+1,0)</f>
        <v>664</v>
      </c>
      <c r="S666" s="287" t="s">
        <v>2087</v>
      </c>
      <c r="T666" t="str">
        <f>IFERROR(VLOOKUP(ROWS($T$3:T666),$R$3:$S$718,2,0),"")</f>
        <v>Maloobchod s převahou potravin,nápojů a tabák.výrobků v nespecializ.prod.</v>
      </c>
      <c r="U666">
        <f>IF(ISNUMBER(SEARCH('1Př1'!$A$33,N666)),MAX($M$2:M665)+1,0)</f>
        <v>664</v>
      </c>
      <c r="V666" s="287" t="s">
        <v>2087</v>
      </c>
      <c r="W666" t="str">
        <f>IFERROR(VLOOKUP(ROWS($W$3:W666),$U$3:$V$718,2,0),"")</f>
        <v>Maloobchod s převahou potravin,nápojů a tabák.výrobků v nespecializ.prod.</v>
      </c>
      <c r="X666">
        <f>IF(ISNUMBER(SEARCH('1Př1'!$A$34,N666)),MAX($M$2:M665)+1,0)</f>
        <v>664</v>
      </c>
      <c r="Y666" s="287" t="s">
        <v>2087</v>
      </c>
      <c r="Z666" t="str">
        <f>IFERROR(VLOOKUP(ROWS($Z$3:Z666),$X$3:$Y$718,2,0),"")</f>
        <v>Maloobchod s převahou potravin,nápojů a tabák.výrobků v nespecializ.prod.</v>
      </c>
    </row>
    <row r="667" spans="13:26">
      <c r="M667" s="286">
        <f>IF(ISNUMBER(SEARCH(ZAKL_DATA!$B$29,N667)),MAX($M$2:M666)+1,0)</f>
        <v>665</v>
      </c>
      <c r="N667" s="791" t="s">
        <v>2019</v>
      </c>
      <c r="O667" s="791" t="s">
        <v>4106</v>
      </c>
      <c r="Q667" s="288" t="str">
        <f>IFERROR(VLOOKUP(ROWS($Q$3:Q667),$M$3:$N$718,2,0),"")</f>
        <v>Výstavba inženýrských sítí pro kapaliny a plyny</v>
      </c>
      <c r="R667">
        <f>IF(ISNUMBER(SEARCH('1Př1'!$A$32,N667)),MAX($M$2:M666)+1,0)</f>
        <v>665</v>
      </c>
      <c r="S667" s="287" t="s">
        <v>2088</v>
      </c>
      <c r="T667" t="str">
        <f>IFERROR(VLOOKUP(ROWS($T$3:T667),$R$3:$S$718,2,0),"")</f>
        <v>Ostatní maloobchod v nespecializovaných prodejnách</v>
      </c>
      <c r="U667">
        <f>IF(ISNUMBER(SEARCH('1Př1'!$A$33,N667)),MAX($M$2:M666)+1,0)</f>
        <v>665</v>
      </c>
      <c r="V667" s="287" t="s">
        <v>2088</v>
      </c>
      <c r="W667" t="str">
        <f>IFERROR(VLOOKUP(ROWS($W$3:W667),$U$3:$V$718,2,0),"")</f>
        <v>Ostatní maloobchod v nespecializovaných prodejnách</v>
      </c>
      <c r="X667">
        <f>IF(ISNUMBER(SEARCH('1Př1'!$A$34,N667)),MAX($M$2:M666)+1,0)</f>
        <v>665</v>
      </c>
      <c r="Y667" s="287" t="s">
        <v>2088</v>
      </c>
      <c r="Z667" t="str">
        <f>IFERROR(VLOOKUP(ROWS($Z$3:Z667),$X$3:$Y$718,2,0),"")</f>
        <v>Ostatní maloobchod v nespecializovaných prodejnách</v>
      </c>
    </row>
    <row r="668" spans="13:26">
      <c r="M668" s="286">
        <f>IF(ISNUMBER(SEARCH(ZAKL_DATA!$B$29,N668)),MAX($M$2:M667)+1,0)</f>
        <v>666</v>
      </c>
      <c r="N668" s="791" t="s">
        <v>2018</v>
      </c>
      <c r="O668" s="791" t="s">
        <v>4107</v>
      </c>
      <c r="Q668" s="288" t="str">
        <f>IFERROR(VLOOKUP(ROWS($Q$3:Q668),$M$3:$N$718,2,0),"")</f>
        <v>Výstavba mostů a tunelů</v>
      </c>
      <c r="R668">
        <f>IF(ISNUMBER(SEARCH('1Př1'!$A$32,N668)),MAX($M$2:M667)+1,0)</f>
        <v>666</v>
      </c>
      <c r="S668" s="287" t="s">
        <v>2089</v>
      </c>
      <c r="T668" t="str">
        <f>IFERROR(VLOOKUP(ROWS($T$3:T668),$R$3:$S$718,2,0),"")</f>
        <v>Maloobchod s ovocem a zeleninou</v>
      </c>
      <c r="U668">
        <f>IF(ISNUMBER(SEARCH('1Př1'!$A$33,N668)),MAX($M$2:M667)+1,0)</f>
        <v>666</v>
      </c>
      <c r="V668" s="287" t="s">
        <v>2089</v>
      </c>
      <c r="W668" t="str">
        <f>IFERROR(VLOOKUP(ROWS($W$3:W668),$U$3:$V$718,2,0),"")</f>
        <v>Maloobchod s ovocem a zeleninou</v>
      </c>
      <c r="X668">
        <f>IF(ISNUMBER(SEARCH('1Př1'!$A$34,N668)),MAX($M$2:M667)+1,0)</f>
        <v>666</v>
      </c>
      <c r="Y668" s="287" t="s">
        <v>2089</v>
      </c>
      <c r="Z668" t="str">
        <f>IFERROR(VLOOKUP(ROWS($Z$3:Z668),$X$3:$Y$718,2,0),"")</f>
        <v>Maloobchod s ovocem a zeleninou</v>
      </c>
    </row>
    <row r="669" spans="13:26">
      <c r="M669" s="286">
        <f>IF(ISNUMBER(SEARCH(ZAKL_DATA!$B$29,N669)),MAX($M$2:M668)+1,0)</f>
        <v>667</v>
      </c>
      <c r="N669" s="791" t="s">
        <v>4108</v>
      </c>
      <c r="O669" s="791" t="s">
        <v>4109</v>
      </c>
      <c r="Q669" s="288" t="str">
        <f>IFERROR(VLOOKUP(ROWS($Q$3:Q669),$M$3:$N$718,2,0),"")</f>
        <v>Výstavba ostatních inženýrských děl j. n.</v>
      </c>
      <c r="R669">
        <f>IF(ISNUMBER(SEARCH('1Př1'!$A$32,N669)),MAX($M$2:M668)+1,0)</f>
        <v>667</v>
      </c>
      <c r="S669" s="287" t="s">
        <v>2090</v>
      </c>
      <c r="T669" t="str">
        <f>IFERROR(VLOOKUP(ROWS($T$3:T669),$R$3:$S$718,2,0),"")</f>
        <v>Maloobchod s masem a masnými výrobky</v>
      </c>
      <c r="U669">
        <f>IF(ISNUMBER(SEARCH('1Př1'!$A$33,N669)),MAX($M$2:M668)+1,0)</f>
        <v>667</v>
      </c>
      <c r="V669" s="287" t="s">
        <v>2090</v>
      </c>
      <c r="W669" t="str">
        <f>IFERROR(VLOOKUP(ROWS($W$3:W669),$U$3:$V$718,2,0),"")</f>
        <v>Maloobchod s masem a masnými výrobky</v>
      </c>
      <c r="X669">
        <f>IF(ISNUMBER(SEARCH('1Př1'!$A$34,N669)),MAX($M$2:M668)+1,0)</f>
        <v>667</v>
      </c>
      <c r="Y669" s="287" t="s">
        <v>2090</v>
      </c>
      <c r="Z669" t="str">
        <f>IFERROR(VLOOKUP(ROWS($Z$3:Z669),$X$3:$Y$718,2,0),"")</f>
        <v>Maloobchod s masem a masnými výrobky</v>
      </c>
    </row>
    <row r="670" spans="13:26">
      <c r="M670" s="286">
        <f>IF(ISNUMBER(SEARCH(ZAKL_DATA!$B$29,N670)),MAX($M$2:M669)+1,0)</f>
        <v>668</v>
      </c>
      <c r="N670" s="791" t="s">
        <v>2016</v>
      </c>
      <c r="O670" s="791" t="s">
        <v>4110</v>
      </c>
      <c r="Q670" s="288" t="str">
        <f>IFERROR(VLOOKUP(ROWS($Q$3:Q670),$M$3:$N$718,2,0),"")</f>
        <v>Výstavba silnic a dálnic</v>
      </c>
      <c r="R670">
        <f>IF(ISNUMBER(SEARCH('1Př1'!$A$32,N670)),MAX($M$2:M669)+1,0)</f>
        <v>668</v>
      </c>
      <c r="S670" s="287" t="s">
        <v>2091</v>
      </c>
      <c r="T670" t="str">
        <f>IFERROR(VLOOKUP(ROWS($T$3:T670),$R$3:$S$718,2,0),"")</f>
        <v>Maloobchod s rybami, korýši a měkkýši</v>
      </c>
      <c r="U670">
        <f>IF(ISNUMBER(SEARCH('1Př1'!$A$33,N670)),MAX($M$2:M669)+1,0)</f>
        <v>668</v>
      </c>
      <c r="V670" s="287" t="s">
        <v>2091</v>
      </c>
      <c r="W670" t="str">
        <f>IFERROR(VLOOKUP(ROWS($W$3:W670),$U$3:$V$718,2,0),"")</f>
        <v>Maloobchod s rybami, korýši a měkkýši</v>
      </c>
      <c r="X670">
        <f>IF(ISNUMBER(SEARCH('1Př1'!$A$34,N670)),MAX($M$2:M669)+1,0)</f>
        <v>668</v>
      </c>
      <c r="Y670" s="287" t="s">
        <v>2091</v>
      </c>
      <c r="Z670" t="str">
        <f>IFERROR(VLOOKUP(ROWS($Z$3:Z670),$X$3:$Y$718,2,0),"")</f>
        <v>Maloobchod s rybami, korýši a měkkýši</v>
      </c>
    </row>
    <row r="671" spans="13:26">
      <c r="M671" s="286">
        <f>IF(ISNUMBER(SEARCH(ZAKL_DATA!$B$29,N671)),MAX($M$2:M670)+1,0)</f>
        <v>669</v>
      </c>
      <c r="N671" s="791" t="s">
        <v>2021</v>
      </c>
      <c r="O671" s="791" t="s">
        <v>4111</v>
      </c>
      <c r="Q671" s="288" t="str">
        <f>IFERROR(VLOOKUP(ROWS($Q$3:Q671),$M$3:$N$718,2,0),"")</f>
        <v>Výstavba vodních děl</v>
      </c>
      <c r="R671">
        <f>IF(ISNUMBER(SEARCH('1Př1'!$A$32,N671)),MAX($M$2:M670)+1,0)</f>
        <v>669</v>
      </c>
      <c r="S671" s="287" t="s">
        <v>2092</v>
      </c>
      <c r="T671" t="str">
        <f>IFERROR(VLOOKUP(ROWS($T$3:T671),$R$3:$S$718,2,0),"")</f>
        <v>Maloobchod s chlebem, pečivem, cukrářskými výrobky a cukrovinkami</v>
      </c>
      <c r="U671">
        <f>IF(ISNUMBER(SEARCH('1Př1'!$A$33,N671)),MAX($M$2:M670)+1,0)</f>
        <v>669</v>
      </c>
      <c r="V671" s="287" t="s">
        <v>2092</v>
      </c>
      <c r="W671" t="str">
        <f>IFERROR(VLOOKUP(ROWS($W$3:W671),$U$3:$V$718,2,0),"")</f>
        <v>Maloobchod s chlebem, pečivem, cukrářskými výrobky a cukrovinkami</v>
      </c>
      <c r="X671">
        <f>IF(ISNUMBER(SEARCH('1Př1'!$A$34,N671)),MAX($M$2:M670)+1,0)</f>
        <v>669</v>
      </c>
      <c r="Y671" s="287" t="s">
        <v>2092</v>
      </c>
      <c r="Z671" t="str">
        <f>IFERROR(VLOOKUP(ROWS($Z$3:Z671),$X$3:$Y$718,2,0),"")</f>
        <v>Maloobchod s chlebem, pečivem, cukrářskými výrobky a cukrovinkami</v>
      </c>
    </row>
    <row r="672" spans="13:26">
      <c r="M672" s="286">
        <f>IF(ISNUMBER(SEARCH(ZAKL_DATA!$B$29,N672)),MAX($M$2:M671)+1,0)</f>
        <v>670</v>
      </c>
      <c r="N672" s="791" t="s">
        <v>2017</v>
      </c>
      <c r="O672" s="791" t="s">
        <v>4112</v>
      </c>
      <c r="Q672" s="288" t="str">
        <f>IFERROR(VLOOKUP(ROWS($Q$3:Q672),$M$3:$N$718,2,0),"")</f>
        <v>Výstavba železnic a podzemních drah</v>
      </c>
      <c r="R672">
        <f>IF(ISNUMBER(SEARCH('1Př1'!$A$32,N672)),MAX($M$2:M671)+1,0)</f>
        <v>670</v>
      </c>
      <c r="S672" s="287" t="s">
        <v>2093</v>
      </c>
      <c r="T672" t="str">
        <f>IFERROR(VLOOKUP(ROWS($T$3:T672),$R$3:$S$718,2,0),"")</f>
        <v>Maloobchod s nápoji</v>
      </c>
      <c r="U672">
        <f>IF(ISNUMBER(SEARCH('1Př1'!$A$33,N672)),MAX($M$2:M671)+1,0)</f>
        <v>670</v>
      </c>
      <c r="V672" s="287" t="s">
        <v>2093</v>
      </c>
      <c r="W672" t="str">
        <f>IFERROR(VLOOKUP(ROWS($W$3:W672),$U$3:$V$718,2,0),"")</f>
        <v>Maloobchod s nápoji</v>
      </c>
      <c r="X672">
        <f>IF(ISNUMBER(SEARCH('1Př1'!$A$34,N672)),MAX($M$2:M671)+1,0)</f>
        <v>670</v>
      </c>
      <c r="Y672" s="287" t="s">
        <v>2093</v>
      </c>
      <c r="Z672" t="str">
        <f>IFERROR(VLOOKUP(ROWS($Z$3:Z672),$X$3:$Y$718,2,0),"")</f>
        <v>Maloobchod s nápoji</v>
      </c>
    </row>
    <row r="673" spans="13:26">
      <c r="M673" s="286">
        <f>IF(ISNUMBER(SEARCH(ZAKL_DATA!$B$29,N673)),MAX($M$2:M672)+1,0)</f>
        <v>671</v>
      </c>
      <c r="N673" s="791" t="s">
        <v>4113</v>
      </c>
      <c r="O673" s="791" t="s">
        <v>4114</v>
      </c>
      <c r="Q673" s="288" t="str">
        <f>IFERROR(VLOOKUP(ROWS($Q$3:Q673),$M$3:$N$718,2,0),"")</f>
        <v>Výtvarná tvorba</v>
      </c>
      <c r="R673">
        <f>IF(ISNUMBER(SEARCH('1Př1'!$A$32,N673)),MAX($M$2:M672)+1,0)</f>
        <v>671</v>
      </c>
      <c r="S673" s="287" t="s">
        <v>2094</v>
      </c>
      <c r="T673" t="str">
        <f>IFERROR(VLOOKUP(ROWS($T$3:T673),$R$3:$S$718,2,0),"")</f>
        <v>Maloobchod s tabákovými výrobky</v>
      </c>
      <c r="U673">
        <f>IF(ISNUMBER(SEARCH('1Př1'!$A$33,N673)),MAX($M$2:M672)+1,0)</f>
        <v>671</v>
      </c>
      <c r="V673" s="287" t="s">
        <v>2094</v>
      </c>
      <c r="W673" t="str">
        <f>IFERROR(VLOOKUP(ROWS($W$3:W673),$U$3:$V$718,2,0),"")</f>
        <v>Maloobchod s tabákovými výrobky</v>
      </c>
      <c r="X673">
        <f>IF(ISNUMBER(SEARCH('1Př1'!$A$34,N673)),MAX($M$2:M672)+1,0)</f>
        <v>671</v>
      </c>
      <c r="Y673" s="287" t="s">
        <v>2094</v>
      </c>
      <c r="Z673" t="str">
        <f>IFERROR(VLOOKUP(ROWS($Z$3:Z673),$X$3:$Y$718,2,0),"")</f>
        <v>Maloobchod s tabákovými výrobky</v>
      </c>
    </row>
    <row r="674" spans="13:26" ht="25.5">
      <c r="M674" s="286">
        <f>IF(ISNUMBER(SEARCH(ZAKL_DATA!$B$29,N674)),MAX($M$2:M673)+1,0)</f>
        <v>672</v>
      </c>
      <c r="N674" s="791" t="s">
        <v>1748</v>
      </c>
      <c r="O674" s="791" t="s">
        <v>4115</v>
      </c>
      <c r="Q674" s="288" t="str">
        <f>IFERROR(VLOOKUP(ROWS($Q$3:Q674),$M$3:$N$718,2,0),"")</f>
        <v>Výzkum a vývoj v oblasti přírodních a technických věd</v>
      </c>
      <c r="R674">
        <f>IF(ISNUMBER(SEARCH('1Př1'!$A$32,N674)),MAX($M$2:M673)+1,0)</f>
        <v>672</v>
      </c>
      <c r="S674" s="287" t="s">
        <v>2095</v>
      </c>
      <c r="T674" t="str">
        <f>IFERROR(VLOOKUP(ROWS($T$3:T674),$R$3:$S$718,2,0),"")</f>
        <v>Ostatní maloobchod s potravinami ve specializovaných prodejnách</v>
      </c>
      <c r="U674">
        <f>IF(ISNUMBER(SEARCH('1Př1'!$A$33,N674)),MAX($M$2:M673)+1,0)</f>
        <v>672</v>
      </c>
      <c r="V674" s="287" t="s">
        <v>2095</v>
      </c>
      <c r="W674" t="str">
        <f>IFERROR(VLOOKUP(ROWS($W$3:W674),$U$3:$V$718,2,0),"")</f>
        <v>Ostatní maloobchod s potravinami ve specializovaných prodejnách</v>
      </c>
      <c r="X674">
        <f>IF(ISNUMBER(SEARCH('1Př1'!$A$34,N674)),MAX($M$2:M673)+1,0)</f>
        <v>672</v>
      </c>
      <c r="Y674" s="287" t="s">
        <v>2095</v>
      </c>
      <c r="Z674" t="str">
        <f>IFERROR(VLOOKUP(ROWS($Z$3:Z674),$X$3:$Y$718,2,0),"")</f>
        <v>Ostatní maloobchod s potravinami ve specializovaných prodejnách</v>
      </c>
    </row>
    <row r="675" spans="13:26" ht="25.5">
      <c r="M675" s="286">
        <f>IF(ISNUMBER(SEARCH(ZAKL_DATA!$B$29,N675)),MAX($M$2:M674)+1,0)</f>
        <v>673</v>
      </c>
      <c r="N675" s="791" t="s">
        <v>1750</v>
      </c>
      <c r="O675" s="791" t="s">
        <v>4116</v>
      </c>
      <c r="Q675" s="288" t="str">
        <f>IFERROR(VLOOKUP(ROWS($Q$3:Q675),$M$3:$N$718,2,0),"")</f>
        <v>Výzkum a vývoj v oblasti společenských a humanitních věd</v>
      </c>
      <c r="R675">
        <f>IF(ISNUMBER(SEARCH('1Př1'!$A$32,N675)),MAX($M$2:M674)+1,0)</f>
        <v>673</v>
      </c>
      <c r="S675" s="287" t="s">
        <v>2096</v>
      </c>
      <c r="T675" t="str">
        <f>IFERROR(VLOOKUP(ROWS($T$3:T675),$R$3:$S$718,2,0),"")</f>
        <v>Maloobchod s počítači, počítačovým periferním zařízením a softwarem</v>
      </c>
      <c r="U675">
        <f>IF(ISNUMBER(SEARCH('1Př1'!$A$33,N675)),MAX($M$2:M674)+1,0)</f>
        <v>673</v>
      </c>
      <c r="V675" s="287" t="s">
        <v>2096</v>
      </c>
      <c r="W675" t="str">
        <f>IFERROR(VLOOKUP(ROWS($W$3:W675),$U$3:$V$718,2,0),"")</f>
        <v>Maloobchod s počítači, počítačovým periferním zařízením a softwarem</v>
      </c>
      <c r="X675">
        <f>IF(ISNUMBER(SEARCH('1Př1'!$A$34,N675)),MAX($M$2:M674)+1,0)</f>
        <v>673</v>
      </c>
      <c r="Y675" s="287" t="s">
        <v>2096</v>
      </c>
      <c r="Z675" t="str">
        <f>IFERROR(VLOOKUP(ROWS($Z$3:Z675),$X$3:$Y$718,2,0),"")</f>
        <v>Maloobchod s počítači, počítačovým periferním zařízením a softwarem</v>
      </c>
    </row>
    <row r="676" spans="13:26">
      <c r="M676" s="286">
        <f>IF(ISNUMBER(SEARCH(ZAKL_DATA!$B$29,N676)),MAX($M$2:M675)+1,0)</f>
        <v>674</v>
      </c>
      <c r="N676" s="791" t="s">
        <v>2202</v>
      </c>
      <c r="O676" s="791" t="s">
        <v>4117</v>
      </c>
      <c r="Q676" s="288" t="str">
        <f>IFERROR(VLOOKUP(ROWS($Q$3:Q676),$M$3:$N$718,2,0),"")</f>
        <v>Vzdělávání v jazykových školách</v>
      </c>
      <c r="R676">
        <f>IF(ISNUMBER(SEARCH('1Př1'!$A$32,N676)),MAX($M$2:M675)+1,0)</f>
        <v>674</v>
      </c>
      <c r="S676" s="287" t="s">
        <v>2097</v>
      </c>
      <c r="T676" t="str">
        <f>IFERROR(VLOOKUP(ROWS($T$3:T676),$R$3:$S$718,2,0),"")</f>
        <v>Maloobchod s telekomunikačním zařízením</v>
      </c>
      <c r="U676">
        <f>IF(ISNUMBER(SEARCH('1Př1'!$A$33,N676)),MAX($M$2:M675)+1,0)</f>
        <v>674</v>
      </c>
      <c r="V676" s="287" t="s">
        <v>2097</v>
      </c>
      <c r="W676" t="str">
        <f>IFERROR(VLOOKUP(ROWS($W$3:W676),$U$3:$V$718,2,0),"")</f>
        <v>Maloobchod s telekomunikačním zařízením</v>
      </c>
      <c r="X676">
        <f>IF(ISNUMBER(SEARCH('1Př1'!$A$34,N676)),MAX($M$2:M675)+1,0)</f>
        <v>674</v>
      </c>
      <c r="Y676" s="287" t="s">
        <v>2097</v>
      </c>
      <c r="Z676" t="str">
        <f>IFERROR(VLOOKUP(ROWS($Z$3:Z676),$X$3:$Y$718,2,0),"")</f>
        <v>Maloobchod s telekomunikačním zařízením</v>
      </c>
    </row>
    <row r="677" spans="13:26">
      <c r="M677" s="286">
        <f>IF(ISNUMBER(SEARCH(ZAKL_DATA!$B$29,N677)),MAX($M$2:M676)+1,0)</f>
        <v>675</v>
      </c>
      <c r="N677" s="791" t="s">
        <v>4118</v>
      </c>
      <c r="O677" s="791" t="s">
        <v>4119</v>
      </c>
      <c r="Q677" s="288" t="str">
        <f>IFERROR(VLOOKUP(ROWS($Q$3:Q677),$M$3:$N$718,2,0),"")</f>
        <v>Zajišťovací činnosti</v>
      </c>
      <c r="R677">
        <f>IF(ISNUMBER(SEARCH('1Př1'!$A$32,N677)),MAX($M$2:M676)+1,0)</f>
        <v>675</v>
      </c>
      <c r="S677" s="287" t="s">
        <v>2098</v>
      </c>
      <c r="T677" t="str">
        <f>IFERROR(VLOOKUP(ROWS($T$3:T677),$R$3:$S$718,2,0),"")</f>
        <v>Maloobchod s audio- a videozařízením</v>
      </c>
      <c r="U677">
        <f>IF(ISNUMBER(SEARCH('1Př1'!$A$33,N677)),MAX($M$2:M676)+1,0)</f>
        <v>675</v>
      </c>
      <c r="V677" s="287" t="s">
        <v>2098</v>
      </c>
      <c r="W677" t="str">
        <f>IFERROR(VLOOKUP(ROWS($W$3:W677),$U$3:$V$718,2,0),"")</f>
        <v>Maloobchod s audio- a videozařízením</v>
      </c>
      <c r="X677">
        <f>IF(ISNUMBER(SEARCH('1Př1'!$A$34,N677)),MAX($M$2:M676)+1,0)</f>
        <v>675</v>
      </c>
      <c r="Y677" s="287" t="s">
        <v>2098</v>
      </c>
      <c r="Z677" t="str">
        <f>IFERROR(VLOOKUP(ROWS($Z$3:Z677),$X$3:$Y$718,2,0),"")</f>
        <v>Maloobchod s audio- a videozařízením</v>
      </c>
    </row>
    <row r="678" spans="13:26" ht="25.5">
      <c r="M678" s="286">
        <f>IF(ISNUMBER(SEARCH(ZAKL_DATA!$B$29,N678)),MAX($M$2:M677)+1,0)</f>
        <v>676</v>
      </c>
      <c r="N678" s="791" t="s">
        <v>1709</v>
      </c>
      <c r="O678" s="791" t="s">
        <v>4120</v>
      </c>
      <c r="Q678" s="288" t="str">
        <f>IFERROR(VLOOKUP(ROWS($Q$3:Q678),$M$3:$N$718,2,0),"")</f>
        <v>Základní poštovní služby poskytované na základě poštovní licence</v>
      </c>
      <c r="R678">
        <f>IF(ISNUMBER(SEARCH('1Př1'!$A$32,N678)),MAX($M$2:M677)+1,0)</f>
        <v>676</v>
      </c>
      <c r="S678" s="287" t="s">
        <v>2099</v>
      </c>
      <c r="T678" t="str">
        <f>IFERROR(VLOOKUP(ROWS($T$3:T678),$R$3:$S$718,2,0),"")</f>
        <v>Maloobchod s textilem</v>
      </c>
      <c r="U678">
        <f>IF(ISNUMBER(SEARCH('1Př1'!$A$33,N678)),MAX($M$2:M677)+1,0)</f>
        <v>676</v>
      </c>
      <c r="V678" s="287" t="s">
        <v>2099</v>
      </c>
      <c r="W678" t="str">
        <f>IFERROR(VLOOKUP(ROWS($W$3:W678),$U$3:$V$718,2,0),"")</f>
        <v>Maloobchod s textilem</v>
      </c>
      <c r="X678">
        <f>IF(ISNUMBER(SEARCH('1Př1'!$A$34,N678)),MAX($M$2:M677)+1,0)</f>
        <v>676</v>
      </c>
      <c r="Y678" s="287" t="s">
        <v>2099</v>
      </c>
      <c r="Z678" t="str">
        <f>IFERROR(VLOOKUP(ROWS($Z$3:Z678),$X$3:$Y$718,2,0),"")</f>
        <v>Maloobchod s textilem</v>
      </c>
    </row>
    <row r="679" spans="13:26" ht="25.5">
      <c r="M679" s="286">
        <f>IF(ISNUMBER(SEARCH(ZAKL_DATA!$B$29,N679)),MAX($M$2:M678)+1,0)</f>
        <v>677</v>
      </c>
      <c r="N679" s="791" t="s">
        <v>2155</v>
      </c>
      <c r="O679" s="791" t="s">
        <v>4121</v>
      </c>
      <c r="Q679" s="288" t="str">
        <f>IFERROR(VLOOKUP(ROWS($Q$3:Q679),$M$3:$N$718,2,0),"")</f>
        <v>Zastupování médií při prodeji reklamního času a prostoru</v>
      </c>
      <c r="R679">
        <f>IF(ISNUMBER(SEARCH('1Př1'!$A$32,N679)),MAX($M$2:M678)+1,0)</f>
        <v>677</v>
      </c>
      <c r="S679" s="287" t="s">
        <v>2100</v>
      </c>
      <c r="T679" t="str">
        <f>IFERROR(VLOOKUP(ROWS($T$3:T679),$R$3:$S$718,2,0),"")</f>
        <v>Maloobchod s železářským zbožím, barvami, sklem a potřebami pro kutily</v>
      </c>
      <c r="U679">
        <f>IF(ISNUMBER(SEARCH('1Př1'!$A$33,N679)),MAX($M$2:M678)+1,0)</f>
        <v>677</v>
      </c>
      <c r="V679" s="287" t="s">
        <v>2100</v>
      </c>
      <c r="W679" t="str">
        <f>IFERROR(VLOOKUP(ROWS($W$3:W679),$U$3:$V$718,2,0),"")</f>
        <v>Maloobchod s železářským zbožím, barvami, sklem a potřebami pro kutily</v>
      </c>
      <c r="X679">
        <f>IF(ISNUMBER(SEARCH('1Př1'!$A$34,N679)),MAX($M$2:M678)+1,0)</f>
        <v>677</v>
      </c>
      <c r="Y679" s="287" t="s">
        <v>2100</v>
      </c>
      <c r="Z679" t="str">
        <f>IFERROR(VLOOKUP(ROWS($Z$3:Z679),$X$3:$Y$718,2,0),"")</f>
        <v>Maloobchod s železářským zbožím, barvami, sklem a potřebami pro kutily</v>
      </c>
    </row>
    <row r="680" spans="13:26">
      <c r="M680" s="286">
        <f>IF(ISNUMBER(SEARCH(ZAKL_DATA!$B$29,N680)),MAX($M$2:M679)+1,0)</f>
        <v>678</v>
      </c>
      <c r="N680" s="791" t="s">
        <v>4122</v>
      </c>
      <c r="O680" s="791" t="s">
        <v>4123</v>
      </c>
      <c r="Q680" s="288" t="str">
        <f>IFERROR(VLOOKUP(ROWS($Q$3:Q680),$M$3:$N$718,2,0),"")</f>
        <v>Zednické práce</v>
      </c>
      <c r="R680">
        <f>IF(ISNUMBER(SEARCH('1Př1'!$A$32,N680)),MAX($M$2:M679)+1,0)</f>
        <v>678</v>
      </c>
      <c r="S680" s="287" t="s">
        <v>2101</v>
      </c>
      <c r="T680" t="str">
        <f>IFERROR(VLOOKUP(ROWS($T$3:T680),$R$3:$S$718,2,0),"")</f>
        <v>Maloobchod s koberci, podlahovými krytinami a nástěnnými obklady</v>
      </c>
      <c r="U680">
        <f>IF(ISNUMBER(SEARCH('1Př1'!$A$33,N680)),MAX($M$2:M679)+1,0)</f>
        <v>678</v>
      </c>
      <c r="V680" s="287" t="s">
        <v>2101</v>
      </c>
      <c r="W680" t="str">
        <f>IFERROR(VLOOKUP(ROWS($W$3:W680),$U$3:$V$718,2,0),"")</f>
        <v>Maloobchod s koberci, podlahovými krytinami a nástěnnými obklady</v>
      </c>
      <c r="X680">
        <f>IF(ISNUMBER(SEARCH('1Př1'!$A$34,N680)),MAX($M$2:M679)+1,0)</f>
        <v>678</v>
      </c>
      <c r="Y680" s="287" t="s">
        <v>2101</v>
      </c>
      <c r="Z680" t="str">
        <f>IFERROR(VLOOKUP(ROWS($Z$3:Z680),$X$3:$Y$718,2,0),"")</f>
        <v>Maloobchod s koberci, podlahovými krytinami a nástěnnými obklady</v>
      </c>
    </row>
    <row r="681" spans="13:26">
      <c r="M681" s="286">
        <f>IF(ISNUMBER(SEARCH(ZAKL_DATA!$B$29,N681)),MAX($M$2:M680)+1,0)</f>
        <v>679</v>
      </c>
      <c r="N681" s="791" t="s">
        <v>4124</v>
      </c>
      <c r="O681" s="791" t="s">
        <v>4125</v>
      </c>
      <c r="Q681" s="288" t="str">
        <f>IFERROR(VLOOKUP(ROWS($Q$3:Q681),$M$3:$N$718,2,0),"")</f>
        <v>Zpracování a konečná úprava dřeva</v>
      </c>
      <c r="R681">
        <f>IF(ISNUMBER(SEARCH('1Př1'!$A$32,N681)),MAX($M$2:M680)+1,0)</f>
        <v>679</v>
      </c>
      <c r="S681" s="287" t="s">
        <v>2102</v>
      </c>
      <c r="T681" t="str">
        <f>IFERROR(VLOOKUP(ROWS($T$3:T681),$R$3:$S$718,2,0),"")</f>
        <v>Maloobchod s elektrospotřebiči a elektronikou</v>
      </c>
      <c r="U681">
        <f>IF(ISNUMBER(SEARCH('1Př1'!$A$33,N681)),MAX($M$2:M680)+1,0)</f>
        <v>679</v>
      </c>
      <c r="V681" s="287" t="s">
        <v>2102</v>
      </c>
      <c r="W681" t="str">
        <f>IFERROR(VLOOKUP(ROWS($W$3:W681),$U$3:$V$718,2,0),"")</f>
        <v>Maloobchod s elektrospotřebiči a elektronikou</v>
      </c>
      <c r="X681">
        <f>IF(ISNUMBER(SEARCH('1Př1'!$A$34,N681)),MAX($M$2:M680)+1,0)</f>
        <v>679</v>
      </c>
      <c r="Y681" s="287" t="s">
        <v>2102</v>
      </c>
      <c r="Z681" t="str">
        <f>IFERROR(VLOOKUP(ROWS($Z$3:Z681),$X$3:$Y$718,2,0),"")</f>
        <v>Maloobchod s elektrospotřebiči a elektronikou</v>
      </c>
    </row>
    <row r="682" spans="13:26">
      <c r="M682" s="286">
        <f>IF(ISNUMBER(SEARCH(ZAKL_DATA!$B$29,N682)),MAX($M$2:M681)+1,0)</f>
        <v>680</v>
      </c>
      <c r="N682" s="791" t="s">
        <v>4126</v>
      </c>
      <c r="O682" s="791" t="s">
        <v>4127</v>
      </c>
      <c r="Q682" s="288" t="str">
        <f>IFERROR(VLOOKUP(ROWS($Q$3:Q682),$M$3:$N$718,2,0),"")</f>
        <v>Zpracování a konečná úprava plastových výrobků</v>
      </c>
      <c r="R682">
        <f>IF(ISNUMBER(SEARCH('1Př1'!$A$32,N682)),MAX($M$2:M681)+1,0)</f>
        <v>680</v>
      </c>
      <c r="S682" s="287" t="s">
        <v>2103</v>
      </c>
      <c r="T682" t="str">
        <f>IFERROR(VLOOKUP(ROWS($T$3:T682),$R$3:$S$718,2,0),"")</f>
        <v>Maloobchod s nábytkem,svítidly a ost.výr.přev.pro dom.ve specializ.prod.</v>
      </c>
      <c r="U682">
        <f>IF(ISNUMBER(SEARCH('1Př1'!$A$33,N682)),MAX($M$2:M681)+1,0)</f>
        <v>680</v>
      </c>
      <c r="V682" s="287" t="s">
        <v>2103</v>
      </c>
      <c r="W682" t="str">
        <f>IFERROR(VLOOKUP(ROWS($W$3:W682),$U$3:$V$718,2,0),"")</f>
        <v>Maloobchod s nábytkem,svítidly a ost.výr.přev.pro dom.ve specializ.prod.</v>
      </c>
      <c r="X682">
        <f>IF(ISNUMBER(SEARCH('1Př1'!$A$34,N682)),MAX($M$2:M681)+1,0)</f>
        <v>680</v>
      </c>
      <c r="Y682" s="287" t="s">
        <v>2103</v>
      </c>
      <c r="Z682" t="str">
        <f>IFERROR(VLOOKUP(ROWS($Z$3:Z682),$X$3:$Y$718,2,0),"")</f>
        <v>Maloobchod s nábytkem,svítidly a ost.výr.přev.pro dom.ve specializ.prod.</v>
      </c>
    </row>
    <row r="683" spans="13:26">
      <c r="M683" s="286">
        <f>IF(ISNUMBER(SEARCH(ZAKL_DATA!$B$29,N683)),MAX($M$2:M682)+1,0)</f>
        <v>681</v>
      </c>
      <c r="N683" s="791" t="s">
        <v>1814</v>
      </c>
      <c r="O683" s="791" t="s">
        <v>4128</v>
      </c>
      <c r="Q683" s="288" t="str">
        <f>IFERROR(VLOOKUP(ROWS($Q$3:Q683),$M$3:$N$718,2,0),"")</f>
        <v>Zpracování a konzervování brambor</v>
      </c>
      <c r="R683">
        <f>IF(ISNUMBER(SEARCH('1Př1'!$A$32,N683)),MAX($M$2:M682)+1,0)</f>
        <v>681</v>
      </c>
      <c r="S683" s="287" t="s">
        <v>2104</v>
      </c>
      <c r="T683" t="str">
        <f>IFERROR(VLOOKUP(ROWS($T$3:T683),$R$3:$S$718,2,0),"")</f>
        <v>Maloobchod s knihami</v>
      </c>
      <c r="U683">
        <f>IF(ISNUMBER(SEARCH('1Př1'!$A$33,N683)),MAX($M$2:M682)+1,0)</f>
        <v>681</v>
      </c>
      <c r="V683" s="287" t="s">
        <v>2104</v>
      </c>
      <c r="W683" t="str">
        <f>IFERROR(VLOOKUP(ROWS($W$3:W683),$U$3:$V$718,2,0),"")</f>
        <v>Maloobchod s knihami</v>
      </c>
      <c r="X683">
        <f>IF(ISNUMBER(SEARCH('1Př1'!$A$34,N683)),MAX($M$2:M682)+1,0)</f>
        <v>681</v>
      </c>
      <c r="Y683" s="287" t="s">
        <v>2104</v>
      </c>
      <c r="Z683" t="str">
        <f>IFERROR(VLOOKUP(ROWS($Z$3:Z683),$X$3:$Y$718,2,0),"")</f>
        <v>Maloobchod s knihami</v>
      </c>
    </row>
    <row r="684" spans="13:26">
      <c r="M684" s="286">
        <f>IF(ISNUMBER(SEARCH(ZAKL_DATA!$B$29,N684)),MAX($M$2:M683)+1,0)</f>
        <v>682</v>
      </c>
      <c r="N684" s="791" t="s">
        <v>1812</v>
      </c>
      <c r="O684" s="791" t="s">
        <v>4129</v>
      </c>
      <c r="Q684" s="288" t="str">
        <f>IFERROR(VLOOKUP(ROWS($Q$3:Q684),$M$3:$N$718,2,0),"")</f>
        <v>Zpracování a konzervování drůbežího masa</v>
      </c>
      <c r="R684">
        <f>IF(ISNUMBER(SEARCH('1Př1'!$A$32,N684)),MAX($M$2:M683)+1,0)</f>
        <v>682</v>
      </c>
      <c r="S684" s="287" t="s">
        <v>2105</v>
      </c>
      <c r="T684" t="str">
        <f>IFERROR(VLOOKUP(ROWS($T$3:T684),$R$3:$S$718,2,0),"")</f>
        <v>Maloobchod s novinami, časopisy a papírnickým zbožím</v>
      </c>
      <c r="U684">
        <f>IF(ISNUMBER(SEARCH('1Př1'!$A$33,N684)),MAX($M$2:M683)+1,0)</f>
        <v>682</v>
      </c>
      <c r="V684" s="287" t="s">
        <v>2105</v>
      </c>
      <c r="W684" t="str">
        <f>IFERROR(VLOOKUP(ROWS($W$3:W684),$U$3:$V$718,2,0),"")</f>
        <v>Maloobchod s novinami, časopisy a papírnickým zbožím</v>
      </c>
      <c r="X684">
        <f>IF(ISNUMBER(SEARCH('1Př1'!$A$34,N684)),MAX($M$2:M683)+1,0)</f>
        <v>682</v>
      </c>
      <c r="Y684" s="287" t="s">
        <v>2105</v>
      </c>
      <c r="Z684" t="str">
        <f>IFERROR(VLOOKUP(ROWS($Z$3:Z684),$X$3:$Y$718,2,0),"")</f>
        <v>Maloobchod s novinami, časopisy a papírnickým zbožím</v>
      </c>
    </row>
    <row r="685" spans="13:26" ht="25.5">
      <c r="M685" s="286">
        <f>IF(ISNUMBER(SEARCH(ZAKL_DATA!$B$29,N685)),MAX($M$2:M684)+1,0)</f>
        <v>683</v>
      </c>
      <c r="N685" s="791" t="s">
        <v>4130</v>
      </c>
      <c r="O685" s="791" t="s">
        <v>4131</v>
      </c>
      <c r="Q685" s="288" t="str">
        <f>IFERROR(VLOOKUP(ROWS($Q$3:Q685),$M$3:$N$718,2,0),"")</f>
        <v>Zpracování a konzervování masa, kromě drůbežího masa</v>
      </c>
      <c r="R685">
        <f>IF(ISNUMBER(SEARCH('1Př1'!$A$32,N685)),MAX($M$2:M684)+1,0)</f>
        <v>683</v>
      </c>
      <c r="S685" s="287" t="s">
        <v>2106</v>
      </c>
      <c r="T685" t="str">
        <f>IFERROR(VLOOKUP(ROWS($T$3:T685),$R$3:$S$718,2,0),"")</f>
        <v>Maloobchod s audio- a videozáznamy</v>
      </c>
      <c r="U685">
        <f>IF(ISNUMBER(SEARCH('1Př1'!$A$33,N685)),MAX($M$2:M684)+1,0)</f>
        <v>683</v>
      </c>
      <c r="V685" s="287" t="s">
        <v>2106</v>
      </c>
      <c r="W685" t="str">
        <f>IFERROR(VLOOKUP(ROWS($W$3:W685),$U$3:$V$718,2,0),"")</f>
        <v>Maloobchod s audio- a videozáznamy</v>
      </c>
      <c r="X685">
        <f>IF(ISNUMBER(SEARCH('1Př1'!$A$34,N685)),MAX($M$2:M684)+1,0)</f>
        <v>683</v>
      </c>
      <c r="Y685" s="287" t="s">
        <v>2106</v>
      </c>
      <c r="Z685" t="str">
        <f>IFERROR(VLOOKUP(ROWS($Z$3:Z685),$X$3:$Y$718,2,0),"")</f>
        <v>Maloobchod s audio- a videozáznamy</v>
      </c>
    </row>
    <row r="686" spans="13:26">
      <c r="M686" s="286">
        <f>IF(ISNUMBER(SEARCH(ZAKL_DATA!$B$29,N686)),MAX($M$2:M685)+1,0)</f>
        <v>684</v>
      </c>
      <c r="N686" s="791" t="s">
        <v>1173</v>
      </c>
      <c r="O686" s="791" t="s">
        <v>4132</v>
      </c>
      <c r="Q686" s="288" t="str">
        <f>IFERROR(VLOOKUP(ROWS($Q$3:Q686),$M$3:$N$718,2,0),"")</f>
        <v>Zpracování a konzervování ryb, korýšů a měkkýšů</v>
      </c>
      <c r="R686">
        <f>IF(ISNUMBER(SEARCH('1Př1'!$A$32,N686)),MAX($M$2:M685)+1,0)</f>
        <v>684</v>
      </c>
      <c r="S686" s="287" t="s">
        <v>2107</v>
      </c>
      <c r="T686" t="str">
        <f>IFERROR(VLOOKUP(ROWS($T$3:T686),$R$3:$S$718,2,0),"")</f>
        <v>Maloobchod se sportovním vybavením</v>
      </c>
      <c r="U686">
        <f>IF(ISNUMBER(SEARCH('1Př1'!$A$33,N686)),MAX($M$2:M685)+1,0)</f>
        <v>684</v>
      </c>
      <c r="V686" s="287" t="s">
        <v>2107</v>
      </c>
      <c r="W686" t="str">
        <f>IFERROR(VLOOKUP(ROWS($W$3:W686),$U$3:$V$718,2,0),"")</f>
        <v>Maloobchod se sportovním vybavením</v>
      </c>
      <c r="X686">
        <f>IF(ISNUMBER(SEARCH('1Př1'!$A$34,N686)),MAX($M$2:M685)+1,0)</f>
        <v>684</v>
      </c>
      <c r="Y686" s="287" t="s">
        <v>2107</v>
      </c>
      <c r="Z686" t="str">
        <f>IFERROR(VLOOKUP(ROWS($Z$3:Z686),$X$3:$Y$718,2,0),"")</f>
        <v>Maloobchod se sportovním vybavením</v>
      </c>
    </row>
    <row r="687" spans="13:26">
      <c r="M687" s="286">
        <f>IF(ISNUMBER(SEARCH(ZAKL_DATA!$B$29,N687)),MAX($M$2:M686)+1,0)</f>
        <v>685</v>
      </c>
      <c r="N687" s="791" t="s">
        <v>1828</v>
      </c>
      <c r="O687" s="791" t="s">
        <v>4133</v>
      </c>
      <c r="Q687" s="288" t="str">
        <f>IFERROR(VLOOKUP(ROWS($Q$3:Q687),$M$3:$N$718,2,0),"")</f>
        <v>Zpracování čaje a kávy</v>
      </c>
      <c r="R687">
        <f>IF(ISNUMBER(SEARCH('1Př1'!$A$32,N687)),MAX($M$2:M686)+1,0)</f>
        <v>685</v>
      </c>
      <c r="S687" s="287" t="s">
        <v>2108</v>
      </c>
      <c r="T687" t="str">
        <f>IFERROR(VLOOKUP(ROWS($T$3:T687),$R$3:$S$718,2,0),"")</f>
        <v>Maloobchod s hrami a hračkami</v>
      </c>
      <c r="U687">
        <f>IF(ISNUMBER(SEARCH('1Př1'!$A$33,N687)),MAX($M$2:M686)+1,0)</f>
        <v>685</v>
      </c>
      <c r="V687" s="287" t="s">
        <v>2108</v>
      </c>
      <c r="W687" t="str">
        <f>IFERROR(VLOOKUP(ROWS($W$3:W687),$U$3:$V$718,2,0),"")</f>
        <v>Maloobchod s hrami a hračkami</v>
      </c>
      <c r="X687">
        <f>IF(ISNUMBER(SEARCH('1Př1'!$A$34,N687)),MAX($M$2:M686)+1,0)</f>
        <v>685</v>
      </c>
      <c r="Y687" s="287" t="s">
        <v>2108</v>
      </c>
      <c r="Z687" t="str">
        <f>IFERROR(VLOOKUP(ROWS($Z$3:Z687),$X$3:$Y$718,2,0),"")</f>
        <v>Maloobchod s hrami a hračkami</v>
      </c>
    </row>
    <row r="688" spans="13:26">
      <c r="M688" s="286">
        <f>IF(ISNUMBER(SEARCH(ZAKL_DATA!$B$29,N688)),MAX($M$2:M687)+1,0)</f>
        <v>686</v>
      </c>
      <c r="N688" s="791" t="s">
        <v>1928</v>
      </c>
      <c r="O688" s="791" t="s">
        <v>4134</v>
      </c>
      <c r="Q688" s="288" t="str">
        <f>IFERROR(VLOOKUP(ROWS($Q$3:Q688),$M$3:$N$718,2,0),"")</f>
        <v>Zpracování jaderného paliva</v>
      </c>
      <c r="R688">
        <f>IF(ISNUMBER(SEARCH('1Př1'!$A$32,N688)),MAX($M$2:M687)+1,0)</f>
        <v>686</v>
      </c>
      <c r="S688" s="287" t="s">
        <v>2109</v>
      </c>
      <c r="T688" t="str">
        <f>IFERROR(VLOOKUP(ROWS($T$3:T688),$R$3:$S$718,2,0),"")</f>
        <v>Maloobchod s oděvy</v>
      </c>
      <c r="U688">
        <f>IF(ISNUMBER(SEARCH('1Př1'!$A$33,N688)),MAX($M$2:M687)+1,0)</f>
        <v>686</v>
      </c>
      <c r="V688" s="287" t="s">
        <v>2109</v>
      </c>
      <c r="W688" t="str">
        <f>IFERROR(VLOOKUP(ROWS($W$3:W688),$U$3:$V$718,2,0),"")</f>
        <v>Maloobchod s oděvy</v>
      </c>
      <c r="X688">
        <f>IF(ISNUMBER(SEARCH('1Př1'!$A$34,N688)),MAX($M$2:M687)+1,0)</f>
        <v>686</v>
      </c>
      <c r="Y688" s="287" t="s">
        <v>2109</v>
      </c>
      <c r="Z688" t="str">
        <f>IFERROR(VLOOKUP(ROWS($Z$3:Z688),$X$3:$Y$718,2,0),"")</f>
        <v>Maloobchod s oděvy</v>
      </c>
    </row>
    <row r="689" spans="13:26">
      <c r="M689" s="286">
        <f>IF(ISNUMBER(SEARCH(ZAKL_DATA!$B$29,N689)),MAX($M$2:M688)+1,0)</f>
        <v>687</v>
      </c>
      <c r="N689" s="791" t="s">
        <v>4135</v>
      </c>
      <c r="O689" s="791" t="s">
        <v>4136</v>
      </c>
      <c r="Q689" s="288" t="str">
        <f>IFERROR(VLOOKUP(ROWS($Q$3:Q689),$M$3:$N$718,2,0),"")</f>
        <v>Zpracování odpadů k energetickému využití</v>
      </c>
      <c r="R689">
        <f>IF(ISNUMBER(SEARCH('1Př1'!$A$32,N689)),MAX($M$2:M688)+1,0)</f>
        <v>687</v>
      </c>
      <c r="S689" s="287" t="s">
        <v>2110</v>
      </c>
      <c r="T689" t="str">
        <f>IFERROR(VLOOKUP(ROWS($T$3:T689),$R$3:$S$718,2,0),"")</f>
        <v>Maloobchod s obuví a koženými výrobky</v>
      </c>
      <c r="U689">
        <f>IF(ISNUMBER(SEARCH('1Př1'!$A$33,N689)),MAX($M$2:M688)+1,0)</f>
        <v>687</v>
      </c>
      <c r="V689" s="287" t="s">
        <v>2110</v>
      </c>
      <c r="W689" t="str">
        <f>IFERROR(VLOOKUP(ROWS($W$3:W689),$U$3:$V$718,2,0),"")</f>
        <v>Maloobchod s obuví a koženými výrobky</v>
      </c>
      <c r="X689">
        <f>IF(ISNUMBER(SEARCH('1Př1'!$A$34,N689)),MAX($M$2:M688)+1,0)</f>
        <v>687</v>
      </c>
      <c r="Y689" s="287" t="s">
        <v>2110</v>
      </c>
      <c r="Z689" t="str">
        <f>IFERROR(VLOOKUP(ROWS($Z$3:Z689),$X$3:$Y$718,2,0),"")</f>
        <v>Maloobchod s obuví a koženými výrobky</v>
      </c>
    </row>
    <row r="690" spans="13:26">
      <c r="M690" s="286">
        <f>IF(ISNUMBER(SEARCH(ZAKL_DATA!$B$29,N690)),MAX($M$2:M689)+1,0)</f>
        <v>688</v>
      </c>
      <c r="N690" s="791" t="s">
        <v>4137</v>
      </c>
      <c r="O690" s="791" t="s">
        <v>4138</v>
      </c>
      <c r="Q690" s="288" t="str">
        <f>IFERROR(VLOOKUP(ROWS($Q$3:Q690),$M$3:$N$718,2,0),"")</f>
        <v>Zpracování odpadů k ostatnímu využití</v>
      </c>
      <c r="R690">
        <f>IF(ISNUMBER(SEARCH('1Př1'!$A$32,N690)),MAX($M$2:M689)+1,0)</f>
        <v>688</v>
      </c>
      <c r="S690" s="287" t="s">
        <v>2111</v>
      </c>
      <c r="T690" t="str">
        <f>IFERROR(VLOOKUP(ROWS($T$3:T690),$R$3:$S$718,2,0),"")</f>
        <v>Maloobchod s farmaceutickými přípravky</v>
      </c>
      <c r="U690">
        <f>IF(ISNUMBER(SEARCH('1Př1'!$A$33,N690)),MAX($M$2:M689)+1,0)</f>
        <v>688</v>
      </c>
      <c r="V690" s="287" t="s">
        <v>2111</v>
      </c>
      <c r="W690" t="str">
        <f>IFERROR(VLOOKUP(ROWS($W$3:W690),$U$3:$V$718,2,0),"")</f>
        <v>Maloobchod s farmaceutickými přípravky</v>
      </c>
      <c r="X690">
        <f>IF(ISNUMBER(SEARCH('1Př1'!$A$34,N690)),MAX($M$2:M689)+1,0)</f>
        <v>688</v>
      </c>
      <c r="Y690" s="287" t="s">
        <v>2111</v>
      </c>
      <c r="Z690" t="str">
        <f>IFERROR(VLOOKUP(ROWS($Z$3:Z690),$X$3:$Y$718,2,0),"")</f>
        <v>Maloobchod s farmaceutickými přípravky</v>
      </c>
    </row>
    <row r="691" spans="13:26" ht="25.5">
      <c r="M691" s="286">
        <f>IF(ISNUMBER(SEARCH(ZAKL_DATA!$B$29,N691)),MAX($M$2:M690)+1,0)</f>
        <v>689</v>
      </c>
      <c r="N691" s="791" t="s">
        <v>4139</v>
      </c>
      <c r="O691" s="791" t="s">
        <v>4140</v>
      </c>
      <c r="Q691" s="288" t="str">
        <f>IFERROR(VLOOKUP(ROWS($Q$3:Q691),$M$3:$N$718,2,0),"")</f>
        <v>Zpracování odpadů k získání materiálů k dalšímu využití</v>
      </c>
      <c r="R691">
        <f>IF(ISNUMBER(SEARCH('1Př1'!$A$32,N691)),MAX($M$2:M690)+1,0)</f>
        <v>689</v>
      </c>
      <c r="S691" s="287" t="s">
        <v>2112</v>
      </c>
      <c r="T691" t="str">
        <f>IFERROR(VLOOKUP(ROWS($T$3:T691),$R$3:$S$718,2,0),"")</f>
        <v>Maloobchod se zdravotnickými a ortopedickými výrobky</v>
      </c>
      <c r="U691">
        <f>IF(ISNUMBER(SEARCH('1Př1'!$A$33,N691)),MAX($M$2:M690)+1,0)</f>
        <v>689</v>
      </c>
      <c r="V691" s="287" t="s">
        <v>2112</v>
      </c>
      <c r="W691" t="str">
        <f>IFERROR(VLOOKUP(ROWS($W$3:W691),$U$3:$V$718,2,0),"")</f>
        <v>Maloobchod se zdravotnickými a ortopedickými výrobky</v>
      </c>
      <c r="X691">
        <f>IF(ISNUMBER(SEARCH('1Př1'!$A$34,N691)),MAX($M$2:M690)+1,0)</f>
        <v>689</v>
      </c>
      <c r="Y691" s="287" t="s">
        <v>2112</v>
      </c>
      <c r="Z691" t="str">
        <f>IFERROR(VLOOKUP(ROWS($Z$3:Z691),$X$3:$Y$718,2,0),"")</f>
        <v>Maloobchod se zdravotnickými a ortopedickými výrobky</v>
      </c>
    </row>
    <row r="692" spans="13:26">
      <c r="M692" s="286">
        <f>IF(ISNUMBER(SEARCH(ZAKL_DATA!$B$29,N692)),MAX($M$2:M691)+1,0)</f>
        <v>690</v>
      </c>
      <c r="N692" s="791" t="s">
        <v>4141</v>
      </c>
      <c r="O692" s="791" t="s">
        <v>4142</v>
      </c>
      <c r="Q692" s="288" t="str">
        <f>IFERROR(VLOOKUP(ROWS($Q$3:Q692),$M$3:$N$718,2,0),"")</f>
        <v>Zprostředkování v oblasti nákladní dopravy</v>
      </c>
      <c r="R692">
        <f>IF(ISNUMBER(SEARCH('1Př1'!$A$32,N692)),MAX($M$2:M691)+1,0)</f>
        <v>690</v>
      </c>
      <c r="S692" s="287" t="s">
        <v>2113</v>
      </c>
      <c r="T692" t="str">
        <f>IFERROR(VLOOKUP(ROWS($T$3:T692),$R$3:$S$718,2,0),"")</f>
        <v>Maloobchod s kosmetickými a toaletními výrobky</v>
      </c>
      <c r="U692">
        <f>IF(ISNUMBER(SEARCH('1Př1'!$A$33,N692)),MAX($M$2:M691)+1,0)</f>
        <v>690</v>
      </c>
      <c r="V692" s="287" t="s">
        <v>2113</v>
      </c>
      <c r="W692" t="str">
        <f>IFERROR(VLOOKUP(ROWS($W$3:W692),$U$3:$V$718,2,0),"")</f>
        <v>Maloobchod s kosmetickými a toaletními výrobky</v>
      </c>
      <c r="X692">
        <f>IF(ISNUMBER(SEARCH('1Př1'!$A$34,N692)),MAX($M$2:M691)+1,0)</f>
        <v>690</v>
      </c>
      <c r="Y692" s="287" t="s">
        <v>2113</v>
      </c>
      <c r="Z692" t="str">
        <f>IFERROR(VLOOKUP(ROWS($Z$3:Z692),$X$3:$Y$718,2,0),"")</f>
        <v>Maloobchod s kosmetickými a toaletními výrobky</v>
      </c>
    </row>
    <row r="693" spans="13:26">
      <c r="M693" s="286">
        <f>IF(ISNUMBER(SEARCH(ZAKL_DATA!$B$29,N693)),MAX($M$2:M692)+1,0)</f>
        <v>691</v>
      </c>
      <c r="N693" s="791" t="s">
        <v>4143</v>
      </c>
      <c r="O693" s="791" t="s">
        <v>4144</v>
      </c>
      <c r="Q693" s="288" t="str">
        <f>IFERROR(VLOOKUP(ROWS($Q$3:Q693),$M$3:$N$718,2,0),"")</f>
        <v>Zprostředkování v oblasti nemovitostí</v>
      </c>
      <c r="R693">
        <f>IF(ISNUMBER(SEARCH('1Př1'!$A$32,N693)),MAX($M$2:M692)+1,0)</f>
        <v>691</v>
      </c>
      <c r="S693" s="287" t="s">
        <v>2114</v>
      </c>
      <c r="T693" t="str">
        <f>IFERROR(VLOOKUP(ROWS($T$3:T693),$R$3:$S$718,2,0),"")</f>
        <v>Maloob.s květinami,rostl.,osivy,hnoj.,zvířaty pro záj.chov a krmivy pro ně</v>
      </c>
      <c r="U693">
        <f>IF(ISNUMBER(SEARCH('1Př1'!$A$33,N693)),MAX($M$2:M692)+1,0)</f>
        <v>691</v>
      </c>
      <c r="V693" s="287" t="s">
        <v>2114</v>
      </c>
      <c r="W693" t="str">
        <f>IFERROR(VLOOKUP(ROWS($W$3:W693),$U$3:$V$718,2,0),"")</f>
        <v>Maloob.s květinami,rostl.,osivy,hnoj.,zvířaty pro záj.chov a krmivy pro ně</v>
      </c>
      <c r="X693">
        <f>IF(ISNUMBER(SEARCH('1Př1'!$A$34,N693)),MAX($M$2:M692)+1,0)</f>
        <v>691</v>
      </c>
      <c r="Y693" s="287" t="s">
        <v>2114</v>
      </c>
      <c r="Z693" t="str">
        <f>IFERROR(VLOOKUP(ROWS($Z$3:Z693),$X$3:$Y$718,2,0),"")</f>
        <v>Maloob.s květinami,rostl.,osivy,hnoj.,zvířaty pro záj.chov a krmivy pro ně</v>
      </c>
    </row>
    <row r="694" spans="13:26" ht="25.5">
      <c r="M694" s="286">
        <f>IF(ISNUMBER(SEARCH(ZAKL_DATA!$B$29,N694)),MAX($M$2:M693)+1,0)</f>
        <v>692</v>
      </c>
      <c r="N694" s="791" t="s">
        <v>4145</v>
      </c>
      <c r="O694" s="791" t="s">
        <v>4146</v>
      </c>
      <c r="Q694" s="288" t="str">
        <f>IFERROR(VLOOKUP(ROWS($Q$3:Q694),$M$3:$N$718,2,0),"")</f>
        <v>Zprostředkování v oblasti nespecializovaného maloobchodu</v>
      </c>
      <c r="R694">
        <f>IF(ISNUMBER(SEARCH('1Př1'!$A$32,N694)),MAX($M$2:M693)+1,0)</f>
        <v>692</v>
      </c>
      <c r="S694" s="287" t="s">
        <v>2115</v>
      </c>
      <c r="T694" t="str">
        <f>IFERROR(VLOOKUP(ROWS($T$3:T694),$R$3:$S$718,2,0),"")</f>
        <v>Maloobchod s hodinami, hodinkami a klenoty</v>
      </c>
      <c r="U694">
        <f>IF(ISNUMBER(SEARCH('1Př1'!$A$33,N694)),MAX($M$2:M693)+1,0)</f>
        <v>692</v>
      </c>
      <c r="V694" s="287" t="s">
        <v>2115</v>
      </c>
      <c r="W694" t="str">
        <f>IFERROR(VLOOKUP(ROWS($W$3:W694),$U$3:$V$718,2,0),"")</f>
        <v>Maloobchod s hodinami, hodinkami a klenoty</v>
      </c>
      <c r="X694">
        <f>IF(ISNUMBER(SEARCH('1Př1'!$A$34,N694)),MAX($M$2:M693)+1,0)</f>
        <v>692</v>
      </c>
      <c r="Y694" s="287" t="s">
        <v>2115</v>
      </c>
      <c r="Z694" t="str">
        <f>IFERROR(VLOOKUP(ROWS($Z$3:Z694),$X$3:$Y$718,2,0),"")</f>
        <v>Maloobchod s hodinami, hodinkami a klenoty</v>
      </c>
    </row>
    <row r="695" spans="13:26" ht="25.5">
      <c r="M695" s="286">
        <f>IF(ISNUMBER(SEARCH(ZAKL_DATA!$B$29,N695)),MAX($M$2:M694)+1,0)</f>
        <v>693</v>
      </c>
      <c r="N695" s="791" t="s">
        <v>4147</v>
      </c>
      <c r="O695" s="793" t="s">
        <v>4148</v>
      </c>
      <c r="Q695" s="288" t="str">
        <f>IFERROR(VLOOKUP(ROWS($Q$3:Q695),$M$3:$N$718,2,0),"")</f>
        <v>Zprostředkování v oblasti nespecializovaného velkoobchodu za provizi</v>
      </c>
      <c r="R695">
        <f>IF(ISNUMBER(SEARCH('1Př1'!$A$32,N695)),MAX($M$2:M694)+1,0)</f>
        <v>693</v>
      </c>
      <c r="S695" s="287" t="s">
        <v>2116</v>
      </c>
      <c r="T695" t="str">
        <f>IFERROR(VLOOKUP(ROWS($T$3:T695),$R$3:$S$718,2,0),"")</f>
        <v>Ostatní maloobchod s novým zbožím ve specializovaných prodejnách</v>
      </c>
      <c r="U695">
        <f>IF(ISNUMBER(SEARCH('1Př1'!$A$33,N695)),MAX($M$2:M694)+1,0)</f>
        <v>693</v>
      </c>
      <c r="V695" s="287" t="s">
        <v>2116</v>
      </c>
      <c r="W695" t="str">
        <f>IFERROR(VLOOKUP(ROWS($W$3:W695),$U$3:$V$718,2,0),"")</f>
        <v>Ostatní maloobchod s novým zbožím ve specializovaných prodejnách</v>
      </c>
      <c r="X695">
        <f>IF(ISNUMBER(SEARCH('1Př1'!$A$34,N695)),MAX($M$2:M694)+1,0)</f>
        <v>693</v>
      </c>
      <c r="Y695" s="287" t="s">
        <v>2116</v>
      </c>
      <c r="Z695" t="str">
        <f>IFERROR(VLOOKUP(ROWS($Z$3:Z695),$X$3:$Y$718,2,0),"")</f>
        <v>Ostatní maloobchod s novým zbožím ve specializovaných prodejnách</v>
      </c>
    </row>
    <row r="696" spans="13:26" ht="38.25">
      <c r="M696" s="286">
        <f>IF(ISNUMBER(SEARCH(ZAKL_DATA!$B$29,N696)),MAX($M$2:M695)+1,0)</f>
        <v>694</v>
      </c>
      <c r="N696" s="791" t="s">
        <v>4149</v>
      </c>
      <c r="O696" s="791" t="s">
        <v>4150</v>
      </c>
      <c r="Q696" s="288" t="str">
        <f>IFERROR(VLOOKUP(ROWS($Q$3:Q696),$M$3:$N$718,2,0),"")</f>
        <v>Zprostředkování v oblasti oprav a údržby počítačů, výrobků pro osobní potřebu a převážně pro domácnost a motorových vozidel a motocyklů</v>
      </c>
      <c r="R696">
        <f>IF(ISNUMBER(SEARCH('1Př1'!$A$32,N696)),MAX($M$2:M695)+1,0)</f>
        <v>694</v>
      </c>
      <c r="S696" s="287" t="s">
        <v>2117</v>
      </c>
      <c r="T696" t="str">
        <f>IFERROR(VLOOKUP(ROWS($T$3:T696),$R$3:$S$718,2,0),"")</f>
        <v>Maloobchod s použitým zbožím v prodejnách</v>
      </c>
      <c r="U696">
        <f>IF(ISNUMBER(SEARCH('1Př1'!$A$33,N696)),MAX($M$2:M695)+1,0)</f>
        <v>694</v>
      </c>
      <c r="V696" s="287" t="s">
        <v>2117</v>
      </c>
      <c r="W696" t="str">
        <f>IFERROR(VLOOKUP(ROWS($W$3:W696),$U$3:$V$718,2,0),"")</f>
        <v>Maloobchod s použitým zbožím v prodejnách</v>
      </c>
      <c r="X696">
        <f>IF(ISNUMBER(SEARCH('1Př1'!$A$34,N696)),MAX($M$2:M695)+1,0)</f>
        <v>694</v>
      </c>
      <c r="Y696" s="287" t="s">
        <v>2117</v>
      </c>
      <c r="Z696" t="str">
        <f>IFERROR(VLOOKUP(ROWS($Z$3:Z696),$X$3:$Y$718,2,0),"")</f>
        <v>Maloobchod s použitým zbožím v prodejnách</v>
      </c>
    </row>
    <row r="697" spans="13:26">
      <c r="M697" s="286">
        <f>IF(ISNUMBER(SEARCH(ZAKL_DATA!$B$29,N697)),MAX($M$2:M696)+1,0)</f>
        <v>695</v>
      </c>
      <c r="N697" s="791" t="s">
        <v>4151</v>
      </c>
      <c r="O697" s="791" t="s">
        <v>4152</v>
      </c>
      <c r="Q697" s="288" t="str">
        <f>IFERROR(VLOOKUP(ROWS($Q$3:Q697),$M$3:$N$718,2,0),"")</f>
        <v>Zprostředkování v oblasti osobní dopravy</v>
      </c>
      <c r="R697">
        <f>IF(ISNUMBER(SEARCH('1Př1'!$A$32,N697)),MAX($M$2:M696)+1,0)</f>
        <v>695</v>
      </c>
      <c r="S697" s="287" t="s">
        <v>2118</v>
      </c>
      <c r="T697" t="str">
        <f>IFERROR(VLOOKUP(ROWS($T$3:T697),$R$3:$S$718,2,0),"")</f>
        <v>Maloobchod s potravinami,nápoji a tabák.výrobky ve stáncích a na trzích</v>
      </c>
      <c r="U697">
        <f>IF(ISNUMBER(SEARCH('1Př1'!$A$33,N697)),MAX($M$2:M696)+1,0)</f>
        <v>695</v>
      </c>
      <c r="V697" s="287" t="s">
        <v>2118</v>
      </c>
      <c r="W697" t="str">
        <f>IFERROR(VLOOKUP(ROWS($W$3:W697),$U$3:$V$718,2,0),"")</f>
        <v>Maloobchod s potravinami,nápoji a tabák.výrobky ve stáncích a na trzích</v>
      </c>
      <c r="X697">
        <f>IF(ISNUMBER(SEARCH('1Př1'!$A$34,N697)),MAX($M$2:M696)+1,0)</f>
        <v>695</v>
      </c>
      <c r="Y697" s="287" t="s">
        <v>2118</v>
      </c>
      <c r="Z697" t="str">
        <f>IFERROR(VLOOKUP(ROWS($Z$3:Z697),$X$3:$Y$718,2,0),"")</f>
        <v>Maloobchod s potravinami,nápoji a tabák.výrobky ve stáncích a na trzích</v>
      </c>
    </row>
    <row r="698" spans="13:26">
      <c r="M698" s="286">
        <f>IF(ISNUMBER(SEARCH(ZAKL_DATA!$B$29,N698)),MAX($M$2:M697)+1,0)</f>
        <v>696</v>
      </c>
      <c r="N698" s="791" t="s">
        <v>4153</v>
      </c>
      <c r="O698" s="791" t="s">
        <v>4154</v>
      </c>
      <c r="Q698" s="288" t="str">
        <f>IFERROR(VLOOKUP(ROWS($Q$3:Q698),$M$3:$N$718,2,0),"")</f>
        <v>Zprostředkování v oblasti osobních služeb</v>
      </c>
      <c r="R698">
        <f>IF(ISNUMBER(SEARCH('1Př1'!$A$32,N698)),MAX($M$2:M697)+1,0)</f>
        <v>696</v>
      </c>
      <c r="S698" s="287" t="s">
        <v>2119</v>
      </c>
      <c r="T698" t="str">
        <f>IFERROR(VLOOKUP(ROWS($T$3:T698),$R$3:$S$718,2,0),"")</f>
        <v>Maloobchod s textilem, oděvy a obuví ve stáncích a na trzích</v>
      </c>
      <c r="U698">
        <f>IF(ISNUMBER(SEARCH('1Př1'!$A$33,N698)),MAX($M$2:M697)+1,0)</f>
        <v>696</v>
      </c>
      <c r="V698" s="287" t="s">
        <v>2119</v>
      </c>
      <c r="W698" t="str">
        <f>IFERROR(VLOOKUP(ROWS($W$3:W698),$U$3:$V$718,2,0),"")</f>
        <v>Maloobchod s textilem, oděvy a obuví ve stáncích a na trzích</v>
      </c>
      <c r="X698">
        <f>IF(ISNUMBER(SEARCH('1Př1'!$A$34,N698)),MAX($M$2:M697)+1,0)</f>
        <v>696</v>
      </c>
      <c r="Y698" s="287" t="s">
        <v>2119</v>
      </c>
      <c r="Z698" t="str">
        <f>IFERROR(VLOOKUP(ROWS($Z$3:Z698),$X$3:$Y$718,2,0),"")</f>
        <v>Maloobchod s textilem, oděvy a obuví ve stáncích a na trzích</v>
      </c>
    </row>
    <row r="699" spans="13:26" ht="25.5">
      <c r="M699" s="286">
        <f>IF(ISNUMBER(SEARCH(ZAKL_DATA!$B$29,N699)),MAX($M$2:M698)+1,0)</f>
        <v>697</v>
      </c>
      <c r="N699" s="791" t="s">
        <v>4155</v>
      </c>
      <c r="O699" s="791" t="s">
        <v>4156</v>
      </c>
      <c r="Q699" s="288" t="str">
        <f>IFERROR(VLOOKUP(ROWS($Q$3:Q699),$M$3:$N$718,2,0),"")</f>
        <v>Zprostředkování v oblasti pobytových služeb sociální péče</v>
      </c>
      <c r="R699">
        <f>IF(ISNUMBER(SEARCH('1Př1'!$A$32,N699)),MAX($M$2:M698)+1,0)</f>
        <v>697</v>
      </c>
      <c r="S699" s="287" t="s">
        <v>2120</v>
      </c>
      <c r="T699" t="str">
        <f>IFERROR(VLOOKUP(ROWS($T$3:T699),$R$3:$S$718,2,0),"")</f>
        <v>Maloobchod s ostatním zbožím ve stáncích a na trzích</v>
      </c>
      <c r="U699">
        <f>IF(ISNUMBER(SEARCH('1Př1'!$A$33,N699)),MAX($M$2:M698)+1,0)</f>
        <v>697</v>
      </c>
      <c r="V699" s="287" t="s">
        <v>2120</v>
      </c>
      <c r="W699" t="str">
        <f>IFERROR(VLOOKUP(ROWS($W$3:W699),$U$3:$V$718,2,0),"")</f>
        <v>Maloobchod s ostatním zbožím ve stáncích a na trzích</v>
      </c>
      <c r="X699">
        <f>IF(ISNUMBER(SEARCH('1Př1'!$A$34,N699)),MAX($M$2:M698)+1,0)</f>
        <v>697</v>
      </c>
      <c r="Y699" s="287" t="s">
        <v>2120</v>
      </c>
      <c r="Z699" t="str">
        <f>IFERROR(VLOOKUP(ROWS($Z$3:Z699),$X$3:$Y$718,2,0),"")</f>
        <v>Maloobchod s ostatním zbožím ve stáncích a na trzích</v>
      </c>
    </row>
    <row r="700" spans="13:26" ht="25.5">
      <c r="M700" s="286">
        <f>IF(ISNUMBER(SEARCH(ZAKL_DATA!$B$29,N700)),MAX($M$2:M699)+1,0)</f>
        <v>698</v>
      </c>
      <c r="N700" s="791" t="s">
        <v>4157</v>
      </c>
      <c r="O700" s="791" t="s">
        <v>4158</v>
      </c>
      <c r="Q700" s="288" t="str">
        <f>IFERROR(VLOOKUP(ROWS($Q$3:Q700),$M$3:$N$718,2,0),"")</f>
        <v>Zprostředkování v oblasti podpůrných činností pro podnikání j. n.</v>
      </c>
      <c r="R700">
        <f>IF(ISNUMBER(SEARCH('1Př1'!$A$32,N700)),MAX($M$2:M699)+1,0)</f>
        <v>698</v>
      </c>
      <c r="S700" s="287" t="s">
        <v>2121</v>
      </c>
      <c r="T700" t="str">
        <f>IFERROR(VLOOKUP(ROWS($T$3:T700),$R$3:$S$718,2,0),"")</f>
        <v>Maloobchod prostřednictvím internetu nebo zásilkové služby</v>
      </c>
      <c r="U700">
        <f>IF(ISNUMBER(SEARCH('1Př1'!$A$33,N700)),MAX($M$2:M699)+1,0)</f>
        <v>698</v>
      </c>
      <c r="V700" s="287" t="s">
        <v>2121</v>
      </c>
      <c r="W700" t="str">
        <f>IFERROR(VLOOKUP(ROWS($W$3:W700),$U$3:$V$718,2,0),"")</f>
        <v>Maloobchod prostřednictvím internetu nebo zásilkové služby</v>
      </c>
      <c r="X700">
        <f>IF(ISNUMBER(SEARCH('1Př1'!$A$34,N700)),MAX($M$2:M699)+1,0)</f>
        <v>698</v>
      </c>
      <c r="Y700" s="287" t="s">
        <v>2121</v>
      </c>
      <c r="Z700" t="str">
        <f>IFERROR(VLOOKUP(ROWS($Z$3:Z700),$X$3:$Y$718,2,0),"")</f>
        <v>Maloobchod prostřednictvím internetu nebo zásilkové služby</v>
      </c>
    </row>
    <row r="701" spans="13:26" ht="25.5">
      <c r="M701" s="286">
        <f>IF(ISNUMBER(SEARCH(ZAKL_DATA!$B$29,N701)),MAX($M$2:M700)+1,0)</f>
        <v>699</v>
      </c>
      <c r="N701" s="791" t="s">
        <v>4159</v>
      </c>
      <c r="O701" s="791" t="s">
        <v>4160</v>
      </c>
      <c r="Q701" s="288" t="str">
        <f>IFERROR(VLOOKUP(ROWS($Q$3:Q701),$M$3:$N$718,2,0),"")</f>
        <v>Zprostředkování v oblasti poštovních a kurýrních činností</v>
      </c>
      <c r="R701">
        <f>IF(ISNUMBER(SEARCH('1Př1'!$A$32,N701)),MAX($M$2:M700)+1,0)</f>
        <v>699</v>
      </c>
      <c r="S701" s="287" t="s">
        <v>2122</v>
      </c>
      <c r="T701" t="str">
        <f>IFERROR(VLOOKUP(ROWS($T$3:T701),$R$3:$S$718,2,0),"")</f>
        <v>Ostatní maloobchod mimo prodejny, stánky a trhy</v>
      </c>
      <c r="U701">
        <f>IF(ISNUMBER(SEARCH('1Př1'!$A$33,N701)),MAX($M$2:M700)+1,0)</f>
        <v>699</v>
      </c>
      <c r="V701" s="287" t="s">
        <v>2122</v>
      </c>
      <c r="W701" t="str">
        <f>IFERROR(VLOOKUP(ROWS($W$3:W701),$U$3:$V$718,2,0),"")</f>
        <v>Ostatní maloobchod mimo prodejny, stánky a trhy</v>
      </c>
      <c r="X701">
        <f>IF(ISNUMBER(SEARCH('1Př1'!$A$34,N701)),MAX($M$2:M700)+1,0)</f>
        <v>699</v>
      </c>
      <c r="Y701" s="287" t="s">
        <v>2122</v>
      </c>
      <c r="Z701" t="str">
        <f>IFERROR(VLOOKUP(ROWS($Z$3:Z701),$X$3:$Y$718,2,0),"")</f>
        <v>Ostatní maloobchod mimo prodejny, stánky a trhy</v>
      </c>
    </row>
    <row r="702" spans="13:26" ht="25.5">
      <c r="M702" s="286">
        <f>IF(ISNUMBER(SEARCH(ZAKL_DATA!$B$29,N702)),MAX($M$2:M701)+1,0)</f>
        <v>700</v>
      </c>
      <c r="N702" s="791" t="s">
        <v>4161</v>
      </c>
      <c r="O702" s="791" t="s">
        <v>4162</v>
      </c>
      <c r="Q702" s="288" t="str">
        <f>IFERROR(VLOOKUP(ROWS($Q$3:Q702),$M$3:$N$718,2,0),"")</f>
        <v>Zprostředkování v oblasti pronájmu a leasingu automobilů, obytných automobilů a přívěsů</v>
      </c>
      <c r="R702">
        <f>IF(ISNUMBER(SEARCH('1Př1'!$A$32,N702)),MAX($M$2:M701)+1,0)</f>
        <v>700</v>
      </c>
      <c r="S702" s="287" t="s">
        <v>2123</v>
      </c>
      <c r="T702" t="str">
        <f>IFERROR(VLOOKUP(ROWS($T$3:T702),$R$3:$S$718,2,0),"")</f>
        <v>Městská a příměstská pozemní osobní doprava</v>
      </c>
      <c r="U702">
        <f>IF(ISNUMBER(SEARCH('1Př1'!$A$33,N702)),MAX($M$2:M701)+1,0)</f>
        <v>700</v>
      </c>
      <c r="V702" s="287" t="s">
        <v>2123</v>
      </c>
      <c r="W702" t="str">
        <f>IFERROR(VLOOKUP(ROWS($W$3:W702),$U$3:$V$718,2,0),"")</f>
        <v>Městská a příměstská pozemní osobní doprava</v>
      </c>
      <c r="X702">
        <f>IF(ISNUMBER(SEARCH('1Př1'!$A$34,N702)),MAX($M$2:M701)+1,0)</f>
        <v>700</v>
      </c>
      <c r="Y702" s="287" t="s">
        <v>2123</v>
      </c>
      <c r="Z702" t="str">
        <f>IFERROR(VLOOKUP(ROWS($Z$3:Z702),$X$3:$Y$718,2,0),"")</f>
        <v>Městská a příměstská pozemní osobní doprava</v>
      </c>
    </row>
    <row r="703" spans="13:26" ht="25.5">
      <c r="M703" s="286">
        <f>IF(ISNUMBER(SEARCH(ZAKL_DATA!$B$29,N703)),MAX($M$2:M702)+1,0)</f>
        <v>701</v>
      </c>
      <c r="N703" s="791" t="s">
        <v>4163</v>
      </c>
      <c r="O703" s="791" t="s">
        <v>4164</v>
      </c>
      <c r="Q703" s="288" t="str">
        <f>IFERROR(VLOOKUP(ROWS($Q$3:Q703),$M$3:$N$718,2,0),"")</f>
        <v>Zprostředkování v oblasti pronájmu a leasingu jiných hmotných statků a nefinančních nehmotných aktiv</v>
      </c>
      <c r="R703">
        <f>IF(ISNUMBER(SEARCH('1Př1'!$A$32,N703)),MAX($M$2:M702)+1,0)</f>
        <v>701</v>
      </c>
      <c r="S703" s="287" t="s">
        <v>2124</v>
      </c>
      <c r="T703" t="str">
        <f>IFERROR(VLOOKUP(ROWS($T$3:T703),$R$3:$S$718,2,0),"")</f>
        <v>Taxislužba a pronájem osobních vozů s řidičem</v>
      </c>
      <c r="U703">
        <f>IF(ISNUMBER(SEARCH('1Př1'!$A$33,N703)),MAX($M$2:M702)+1,0)</f>
        <v>701</v>
      </c>
      <c r="V703" s="287" t="s">
        <v>2124</v>
      </c>
      <c r="W703" t="str">
        <f>IFERROR(VLOOKUP(ROWS($W$3:W703),$U$3:$V$718,2,0),"")</f>
        <v>Taxislužba a pronájem osobních vozů s řidičem</v>
      </c>
      <c r="X703">
        <f>IF(ISNUMBER(SEARCH('1Př1'!$A$34,N703)),MAX($M$2:M702)+1,0)</f>
        <v>701</v>
      </c>
      <c r="Y703" s="287" t="s">
        <v>2124</v>
      </c>
      <c r="Z703" t="str">
        <f>IFERROR(VLOOKUP(ROWS($Z$3:Z703),$X$3:$Y$718,2,0),"")</f>
        <v>Taxislužba a pronájem osobních vozů s řidičem</v>
      </c>
    </row>
    <row r="704" spans="13:26" ht="25.5">
      <c r="M704" s="286">
        <f>IF(ISNUMBER(SEARCH(ZAKL_DATA!$B$29,N704)),MAX($M$2:M703)+1,0)</f>
        <v>702</v>
      </c>
      <c r="N704" s="791" t="s">
        <v>4165</v>
      </c>
      <c r="O704" s="791" t="s">
        <v>4166</v>
      </c>
      <c r="Q704" s="288" t="str">
        <f>IFERROR(VLOOKUP(ROWS($Q$3:Q704),$M$3:$N$718,2,0),"")</f>
        <v>Zprostředkování v oblasti specializovaného maloobchodu</v>
      </c>
      <c r="R704">
        <f>IF(ISNUMBER(SEARCH('1Př1'!$A$32,N704)),MAX($M$2:M703)+1,0)</f>
        <v>702</v>
      </c>
      <c r="S704" s="287" t="s">
        <v>2125</v>
      </c>
      <c r="T704" t="str">
        <f>IFERROR(VLOOKUP(ROWS($T$3:T704),$R$3:$S$718,2,0),"")</f>
        <v>Ostatní pozemní osobní doprava j. n.</v>
      </c>
      <c r="U704">
        <f>IF(ISNUMBER(SEARCH('1Př1'!$A$33,N704)),MAX($M$2:M703)+1,0)</f>
        <v>702</v>
      </c>
      <c r="V704" s="287" t="s">
        <v>2125</v>
      </c>
      <c r="W704" t="str">
        <f>IFERROR(VLOOKUP(ROWS($W$3:W704),$U$3:$V$718,2,0),"")</f>
        <v>Ostatní pozemní osobní doprava j. n.</v>
      </c>
      <c r="X704">
        <f>IF(ISNUMBER(SEARCH('1Př1'!$A$34,N704)),MAX($M$2:M703)+1,0)</f>
        <v>702</v>
      </c>
      <c r="Y704" s="287" t="s">
        <v>2125</v>
      </c>
      <c r="Z704" t="str">
        <f>IFERROR(VLOOKUP(ROWS($Z$3:Z704),$X$3:$Y$718,2,0),"")</f>
        <v>Ostatní pozemní osobní doprava j. n.</v>
      </c>
    </row>
    <row r="705" spans="13:26" ht="25.5">
      <c r="M705" s="286">
        <f>IF(ISNUMBER(SEARCH(ZAKL_DATA!$B$29,N705)),MAX($M$2:M704)+1,0)</f>
        <v>703</v>
      </c>
      <c r="N705" s="791" t="s">
        <v>4167</v>
      </c>
      <c r="O705" s="791" t="s">
        <v>4168</v>
      </c>
      <c r="Q705" s="288" t="str">
        <f>IFERROR(VLOOKUP(ROWS($Q$3:Q705),$M$3:$N$718,2,0),"")</f>
        <v>Zprostředkování v oblasti specializovaného velkoobchodu za provizi s ostatním zbožím</v>
      </c>
      <c r="R705">
        <f>IF(ISNUMBER(SEARCH('1Př1'!$A$32,N705)),MAX($M$2:M704)+1,0)</f>
        <v>703</v>
      </c>
      <c r="S705" s="287" t="s">
        <v>2126</v>
      </c>
      <c r="T705" t="str">
        <f>IFERROR(VLOOKUP(ROWS($T$3:T705),$R$3:$S$718,2,0),"")</f>
        <v>Silniční nákladní doprava</v>
      </c>
      <c r="U705">
        <f>IF(ISNUMBER(SEARCH('1Př1'!$A$33,N705)),MAX($M$2:M704)+1,0)</f>
        <v>703</v>
      </c>
      <c r="V705" s="287" t="s">
        <v>2126</v>
      </c>
      <c r="W705" t="str">
        <f>IFERROR(VLOOKUP(ROWS($W$3:W705),$U$3:$V$718,2,0),"")</f>
        <v>Silniční nákladní doprava</v>
      </c>
      <c r="X705">
        <f>IF(ISNUMBER(SEARCH('1Př1'!$A$34,N705)),MAX($M$2:M704)+1,0)</f>
        <v>703</v>
      </c>
      <c r="Y705" s="287" t="s">
        <v>2126</v>
      </c>
      <c r="Z705" t="str">
        <f>IFERROR(VLOOKUP(ROWS($Z$3:Z705),$X$3:$Y$718,2,0),"")</f>
        <v>Silniční nákladní doprava</v>
      </c>
    </row>
    <row r="706" spans="13:26" ht="25.5">
      <c r="M706" s="286">
        <f>IF(ISNUMBER(SEARCH(ZAKL_DATA!$B$29,N706)),MAX($M$2:M705)+1,0)</f>
        <v>704</v>
      </c>
      <c r="N706" s="791" t="s">
        <v>4169</v>
      </c>
      <c r="O706" s="791" t="s">
        <v>4170</v>
      </c>
      <c r="Q706" s="288" t="str">
        <f>IFERROR(VLOOKUP(ROWS($Q$3:Q706),$M$3:$N$718,2,0),"")</f>
        <v>Zprostředkování v oblasti specializovaných stavebních činností</v>
      </c>
      <c r="R706">
        <f>IF(ISNUMBER(SEARCH('1Př1'!$A$32,N706)),MAX($M$2:M705)+1,0)</f>
        <v>704</v>
      </c>
      <c r="S706" s="287" t="s">
        <v>2127</v>
      </c>
      <c r="T706" t="str">
        <f>IFERROR(VLOOKUP(ROWS($T$3:T706),$R$3:$S$718,2,0),"")</f>
        <v>Stěhovací služby</v>
      </c>
      <c r="U706">
        <f>IF(ISNUMBER(SEARCH('1Př1'!$A$33,N706)),MAX($M$2:M705)+1,0)</f>
        <v>704</v>
      </c>
      <c r="V706" s="287" t="s">
        <v>2127</v>
      </c>
      <c r="W706" t="str">
        <f>IFERROR(VLOOKUP(ROWS($W$3:W706),$U$3:$V$718,2,0),"")</f>
        <v>Stěhovací služby</v>
      </c>
      <c r="X706">
        <f>IF(ISNUMBER(SEARCH('1Př1'!$A$34,N706)),MAX($M$2:M705)+1,0)</f>
        <v>704</v>
      </c>
      <c r="Y706" s="287" t="s">
        <v>2127</v>
      </c>
      <c r="Z706" t="str">
        <f>IFERROR(VLOOKUP(ROWS($Z$3:Z706),$X$3:$Y$718,2,0),"")</f>
        <v>Stěhovací služby</v>
      </c>
    </row>
    <row r="707" spans="13:26" ht="25.5">
      <c r="M707" s="286">
        <f>IF(ISNUMBER(SEARCH(ZAKL_DATA!$B$29,N707)),MAX($M$2:M706)+1,0)</f>
        <v>705</v>
      </c>
      <c r="N707" s="791" t="s">
        <v>4171</v>
      </c>
      <c r="O707" s="791" t="s">
        <v>4172</v>
      </c>
      <c r="Q707" s="288" t="str">
        <f>IFERROR(VLOOKUP(ROWS($Q$3:Q707),$M$3:$N$718,2,0),"")</f>
        <v>Zprostředkování v oblasti stravování a podávání nápojů</v>
      </c>
      <c r="R707">
        <f>IF(ISNUMBER(SEARCH('1Př1'!$A$32,N707)),MAX($M$2:M706)+1,0)</f>
        <v>705</v>
      </c>
      <c r="S707" s="287" t="s">
        <v>2128</v>
      </c>
      <c r="T707" t="str">
        <f>IFERROR(VLOOKUP(ROWS($T$3:T707),$R$3:$S$718,2,0),"")</f>
        <v>Těžba černého uhlí</v>
      </c>
      <c r="U707">
        <f>IF(ISNUMBER(SEARCH('1Př1'!$A$33,N707)),MAX($M$2:M706)+1,0)</f>
        <v>705</v>
      </c>
      <c r="V707" s="287" t="s">
        <v>2128</v>
      </c>
      <c r="W707" t="str">
        <f>IFERROR(VLOOKUP(ROWS($W$3:W707),$U$3:$V$718,2,0),"")</f>
        <v>Těžba černého uhlí</v>
      </c>
      <c r="X707">
        <f>IF(ISNUMBER(SEARCH('1Př1'!$A$34,N707)),MAX($M$2:M706)+1,0)</f>
        <v>705</v>
      </c>
      <c r="Y707" s="287" t="s">
        <v>2128</v>
      </c>
      <c r="Z707" t="str">
        <f>IFERROR(VLOOKUP(ROWS($Z$3:Z707),$X$3:$Y$718,2,0),"")</f>
        <v>Těžba černého uhlí</v>
      </c>
    </row>
    <row r="708" spans="13:26">
      <c r="M708" s="286">
        <f>IF(ISNUMBER(SEARCH(ZAKL_DATA!$B$29,N708)),MAX($M$2:M707)+1,0)</f>
        <v>706</v>
      </c>
      <c r="N708" s="791" t="s">
        <v>4173</v>
      </c>
      <c r="O708" s="791" t="s">
        <v>4174</v>
      </c>
      <c r="Q708" s="288" t="str">
        <f>IFERROR(VLOOKUP(ROWS($Q$3:Q708),$M$3:$N$718,2,0),"")</f>
        <v>Zprostředkování v oblasti ubytování</v>
      </c>
      <c r="R708">
        <f>IF(ISNUMBER(SEARCH('1Př1'!$A$32,N708)),MAX($M$2:M707)+1,0)</f>
        <v>706</v>
      </c>
      <c r="S708" s="287" t="s">
        <v>2129</v>
      </c>
      <c r="T708" t="str">
        <f>IFERROR(VLOOKUP(ROWS($T$3:T708),$R$3:$S$718,2,0),"")</f>
        <v>Úprava černého uhlí</v>
      </c>
      <c r="U708">
        <f>IF(ISNUMBER(SEARCH('1Př1'!$A$33,N708)),MAX($M$2:M707)+1,0)</f>
        <v>706</v>
      </c>
      <c r="V708" s="287" t="s">
        <v>2129</v>
      </c>
      <c r="W708" t="str">
        <f>IFERROR(VLOOKUP(ROWS($W$3:W708),$U$3:$V$718,2,0),"")</f>
        <v>Úprava černého uhlí</v>
      </c>
      <c r="X708">
        <f>IF(ISNUMBER(SEARCH('1Př1'!$A$34,N708)),MAX($M$2:M707)+1,0)</f>
        <v>706</v>
      </c>
      <c r="Y708" s="287" t="s">
        <v>2129</v>
      </c>
      <c r="Z708" t="str">
        <f>IFERROR(VLOOKUP(ROWS($Z$3:Z708),$X$3:$Y$718,2,0),"")</f>
        <v>Úprava černého uhlí</v>
      </c>
    </row>
    <row r="709" spans="13:26" ht="38.25">
      <c r="M709" s="286">
        <f>IF(ISNUMBER(SEARCH(ZAKL_DATA!$B$29,N709)),MAX($M$2:M708)+1,0)</f>
        <v>707</v>
      </c>
      <c r="N709" s="791" t="s">
        <v>4175</v>
      </c>
      <c r="O709" s="791" t="s">
        <v>4176</v>
      </c>
      <c r="Q709" s="288" t="str">
        <f>IFERROR(VLOOKUP(ROWS($Q$3:Q709),$M$3:$N$718,2,0),"")</f>
        <v>Zprostředkování v oblasti velkoobchodu za provizi s nábytkem, železářským zbožím a potřebami převážně pro domácnost</v>
      </c>
      <c r="R709">
        <f>IF(ISNUMBER(SEARCH('1Př1'!$A$32,N709)),MAX($M$2:M708)+1,0)</f>
        <v>707</v>
      </c>
      <c r="S709" s="287" t="s">
        <v>2130</v>
      </c>
      <c r="T709" t="str">
        <f>IFERROR(VLOOKUP(ROWS($T$3:T709),$R$3:$S$718,2,0),"")</f>
        <v>Letecká nákladní doprava</v>
      </c>
      <c r="U709">
        <f>IF(ISNUMBER(SEARCH('1Př1'!$A$33,N709)),MAX($M$2:M708)+1,0)</f>
        <v>707</v>
      </c>
      <c r="V709" s="287" t="s">
        <v>2130</v>
      </c>
      <c r="W709" t="str">
        <f>IFERROR(VLOOKUP(ROWS($W$3:W709),$U$3:$V$718,2,0),"")</f>
        <v>Letecká nákladní doprava</v>
      </c>
      <c r="X709">
        <f>IF(ISNUMBER(SEARCH('1Př1'!$A$34,N709)),MAX($M$2:M708)+1,0)</f>
        <v>707</v>
      </c>
      <c r="Y709" s="287" t="s">
        <v>2130</v>
      </c>
      <c r="Z709" t="str">
        <f>IFERROR(VLOOKUP(ROWS($Z$3:Z709),$X$3:$Y$718,2,0),"")</f>
        <v>Letecká nákladní doprava</v>
      </c>
    </row>
    <row r="710" spans="13:26" ht="25.5">
      <c r="M710" s="286">
        <f>IF(ISNUMBER(SEARCH(ZAKL_DATA!$B$29,N710)),MAX($M$2:M709)+1,0)</f>
        <v>708</v>
      </c>
      <c r="N710" s="791" t="s">
        <v>4177</v>
      </c>
      <c r="O710" s="791" t="s">
        <v>4178</v>
      </c>
      <c r="Q710" s="288" t="str">
        <f>IFERROR(VLOOKUP(ROWS($Q$3:Q710),$M$3:$N$718,2,0),"")</f>
        <v>Zprostředkování v oblasti velkoobchodu za provizi s palivy, rudami, kovy a technickými chemikáliemi</v>
      </c>
      <c r="R710">
        <f>IF(ISNUMBER(SEARCH('1Př1'!$A$32,N710)),MAX($M$2:M709)+1,0)</f>
        <v>708</v>
      </c>
      <c r="S710" s="287" t="s">
        <v>2131</v>
      </c>
      <c r="T710" t="str">
        <f>IFERROR(VLOOKUP(ROWS($T$3:T710),$R$3:$S$718,2,0),"")</f>
        <v>Kosmická doprava</v>
      </c>
      <c r="U710">
        <f>IF(ISNUMBER(SEARCH('1Př1'!$A$33,N710)),MAX($M$2:M709)+1,0)</f>
        <v>708</v>
      </c>
      <c r="V710" s="287" t="s">
        <v>2131</v>
      </c>
      <c r="W710" t="str">
        <f>IFERROR(VLOOKUP(ROWS($W$3:W710),$U$3:$V$718,2,0),"")</f>
        <v>Kosmická doprava</v>
      </c>
      <c r="X710">
        <f>IF(ISNUMBER(SEARCH('1Př1'!$A$34,N710)),MAX($M$2:M709)+1,0)</f>
        <v>708</v>
      </c>
      <c r="Y710" s="287" t="s">
        <v>2131</v>
      </c>
      <c r="Z710" t="str">
        <f>IFERROR(VLOOKUP(ROWS($Z$3:Z710),$X$3:$Y$718,2,0),"")</f>
        <v>Kosmická doprava</v>
      </c>
    </row>
    <row r="711" spans="13:26" ht="25.5">
      <c r="M711" s="286">
        <f>IF(ISNUMBER(SEARCH(ZAKL_DATA!$B$29,N711)),MAX($M$2:M710)+1,0)</f>
        <v>709</v>
      </c>
      <c r="N711" s="791" t="s">
        <v>4179</v>
      </c>
      <c r="O711" s="791" t="s">
        <v>4180</v>
      </c>
      <c r="Q711" s="288" t="str">
        <f>IFERROR(VLOOKUP(ROWS($Q$3:Q711),$M$3:$N$718,2,0),"")</f>
        <v>Zprostředkování v oblasti velkoobchodu za provizi s potravinami, nápoji a tabákovými výrobky</v>
      </c>
      <c r="R711">
        <f>IF(ISNUMBER(SEARCH('1Př1'!$A$32,N711)),MAX($M$2:M710)+1,0)</f>
        <v>709</v>
      </c>
      <c r="S711" s="287" t="s">
        <v>2132</v>
      </c>
      <c r="T711" t="str">
        <f>IFERROR(VLOOKUP(ROWS($T$3:T711),$R$3:$S$718,2,0),"")</f>
        <v>Těžba hnědého uhlí, kromě lignitu</v>
      </c>
      <c r="U711">
        <f>IF(ISNUMBER(SEARCH('1Př1'!$A$33,N711)),MAX($M$2:M710)+1,0)</f>
        <v>709</v>
      </c>
      <c r="V711" s="287" t="s">
        <v>2132</v>
      </c>
      <c r="W711" t="str">
        <f>IFERROR(VLOOKUP(ROWS($W$3:W711),$U$3:$V$718,2,0),"")</f>
        <v>Těžba hnědého uhlí, kromě lignitu</v>
      </c>
      <c r="X711">
        <f>IF(ISNUMBER(SEARCH('1Př1'!$A$34,N711)),MAX($M$2:M710)+1,0)</f>
        <v>709</v>
      </c>
      <c r="Y711" s="287" t="s">
        <v>2132</v>
      </c>
      <c r="Z711" t="str">
        <f>IFERROR(VLOOKUP(ROWS($Z$3:Z711),$X$3:$Y$718,2,0),"")</f>
        <v>Těžba hnědého uhlí, kromě lignitu</v>
      </c>
    </row>
    <row r="712" spans="13:26" ht="38.25">
      <c r="M712" s="286">
        <f>IF(ISNUMBER(SEARCH(ZAKL_DATA!$B$29,N712)),MAX($M$2:M711)+1,0)</f>
        <v>710</v>
      </c>
      <c r="N712" s="791" t="s">
        <v>4181</v>
      </c>
      <c r="O712" s="791" t="s">
        <v>4182</v>
      </c>
      <c r="Q712" s="288" t="str">
        <f>IFERROR(VLOOKUP(ROWS($Q$3:Q712),$M$3:$N$718,2,0),"")</f>
        <v>Zprostředkování v oblasti velkoobchodu za provizi s textilem, oděvy, kožešinami, obuví a koženými výrobky</v>
      </c>
      <c r="R712">
        <f>IF(ISNUMBER(SEARCH('1Př1'!$A$32,N712)),MAX($M$2:M711)+1,0)</f>
        <v>710</v>
      </c>
      <c r="S712" s="287" t="s">
        <v>2133</v>
      </c>
      <c r="T712" t="str">
        <f>IFERROR(VLOOKUP(ROWS($T$3:T712),$R$3:$S$718,2,0),"")</f>
        <v>Úprava hnědého uhlí, kromě lignitu</v>
      </c>
      <c r="U712">
        <f>IF(ISNUMBER(SEARCH('1Př1'!$A$33,N712)),MAX($M$2:M711)+1,0)</f>
        <v>710</v>
      </c>
      <c r="V712" s="287" t="s">
        <v>2133</v>
      </c>
      <c r="W712" t="str">
        <f>IFERROR(VLOOKUP(ROWS($W$3:W712),$U$3:$V$718,2,0),"")</f>
        <v>Úprava hnědého uhlí, kromě lignitu</v>
      </c>
      <c r="X712">
        <f>IF(ISNUMBER(SEARCH('1Př1'!$A$34,N712)),MAX($M$2:M711)+1,0)</f>
        <v>710</v>
      </c>
      <c r="Y712" s="287" t="s">
        <v>2133</v>
      </c>
      <c r="Z712" t="str">
        <f>IFERROR(VLOOKUP(ROWS($Z$3:Z712),$X$3:$Y$718,2,0),"")</f>
        <v>Úprava hnědého uhlí, kromě lignitu</v>
      </c>
    </row>
    <row r="713" spans="13:26" ht="25.5">
      <c r="M713" s="286">
        <f>IF(ISNUMBER(SEARCH(ZAKL_DATA!$B$29,N713)),MAX($M$2:M712)+1,0)</f>
        <v>711</v>
      </c>
      <c r="N713" s="791" t="s">
        <v>4183</v>
      </c>
      <c r="O713" s="791" t="s">
        <v>4184</v>
      </c>
      <c r="Q713" s="288" t="str">
        <f>IFERROR(VLOOKUP(ROWS($Q$3:Q713),$M$3:$N$718,2,0),"")</f>
        <v>Zprostředkování v oblasti velkoobchodu za provizi se dřevem a stavebními materiály</v>
      </c>
      <c r="R713">
        <f>IF(ISNUMBER(SEARCH('1Př1'!$A$32,N713)),MAX($M$2:M712)+1,0)</f>
        <v>711</v>
      </c>
      <c r="S713" s="287" t="s">
        <v>2134</v>
      </c>
      <c r="T713" t="str">
        <f>IFERROR(VLOOKUP(ROWS($T$3:T713),$R$3:$S$718,2,0),"")</f>
        <v>Těžba lignitu</v>
      </c>
      <c r="U713">
        <f>IF(ISNUMBER(SEARCH('1Př1'!$A$33,N713)),MAX($M$2:M712)+1,0)</f>
        <v>711</v>
      </c>
      <c r="V713" s="287" t="s">
        <v>2134</v>
      </c>
      <c r="W713" t="str">
        <f>IFERROR(VLOOKUP(ROWS($W$3:W713),$U$3:$V$718,2,0),"")</f>
        <v>Těžba lignitu</v>
      </c>
      <c r="X713">
        <f>IF(ISNUMBER(SEARCH('1Př1'!$A$34,N713)),MAX($M$2:M712)+1,0)</f>
        <v>711</v>
      </c>
      <c r="Y713" s="287" t="s">
        <v>2134</v>
      </c>
      <c r="Z713" t="str">
        <f>IFERROR(VLOOKUP(ROWS($Z$3:Z713),$X$3:$Y$718,2,0),"")</f>
        <v>Těžba lignitu</v>
      </c>
    </row>
    <row r="714" spans="13:26" ht="25.5">
      <c r="M714" s="286">
        <f>IF(ISNUMBER(SEARCH(ZAKL_DATA!$B$29,N714)),MAX($M$2:M713)+1,0)</f>
        <v>712</v>
      </c>
      <c r="N714" s="791" t="s">
        <v>4185</v>
      </c>
      <c r="O714" s="791" t="s">
        <v>4186</v>
      </c>
      <c r="Q714" s="288" t="str">
        <f>IFERROR(VLOOKUP(ROWS($Q$3:Q714),$M$3:$N$718,2,0),"")</f>
        <v>Zprostředkování v oblasti velkoobchodu za provizi se stroji, průmyslovým zařízením, loděmi a letadly</v>
      </c>
      <c r="R714">
        <f>IF(ISNUMBER(SEARCH('1Př1'!$A$32,N714)),MAX($M$2:M713)+1,0)</f>
        <v>712</v>
      </c>
      <c r="S714" s="287" t="s">
        <v>2135</v>
      </c>
      <c r="T714" t="str">
        <f>IFERROR(VLOOKUP(ROWS($T$3:T714),$R$3:$S$718,2,0),"")</f>
        <v>Úprava lignitu</v>
      </c>
      <c r="U714">
        <f>IF(ISNUMBER(SEARCH('1Př1'!$A$33,N714)),MAX($M$2:M713)+1,0)</f>
        <v>712</v>
      </c>
      <c r="V714" s="287" t="s">
        <v>2135</v>
      </c>
      <c r="W714" t="str">
        <f>IFERROR(VLOOKUP(ROWS($W$3:W714),$U$3:$V$718,2,0),"")</f>
        <v>Úprava lignitu</v>
      </c>
      <c r="X714">
        <f>IF(ISNUMBER(SEARCH('1Př1'!$A$34,N714)),MAX($M$2:M713)+1,0)</f>
        <v>712</v>
      </c>
      <c r="Y714" s="287" t="s">
        <v>2135</v>
      </c>
      <c r="Z714" t="str">
        <f>IFERROR(VLOOKUP(ROWS($Z$3:Z714),$X$3:$Y$718,2,0),"")</f>
        <v>Úprava lignitu</v>
      </c>
    </row>
    <row r="715" spans="13:26" ht="38.25">
      <c r="M715" s="286">
        <f>IF(ISNUMBER(SEARCH(ZAKL_DATA!$B$29,N715)),MAX($M$2:M714)+1,0)</f>
        <v>713</v>
      </c>
      <c r="N715" s="791" t="s">
        <v>4187</v>
      </c>
      <c r="O715" s="791" t="s">
        <v>4188</v>
      </c>
      <c r="Q715" s="288" t="str">
        <f>IFERROR(VLOOKUP(ROWS($Q$3:Q715),$M$3:$N$718,2,0),"")</f>
        <v>Zprostředkování v oblasti velkoobchodu za provizi se základními zemědělskými produkty, živými zvířaty, textilními surovinami a polotovary</v>
      </c>
      <c r="R715">
        <f>IF(ISNUMBER(SEARCH('1Př1'!$A$32,N715)),MAX($M$2:M714)+1,0)</f>
        <v>713</v>
      </c>
      <c r="S715" s="287" t="s">
        <v>2136</v>
      </c>
      <c r="T715" t="str">
        <f>IFERROR(VLOOKUP(ROWS($T$3:T715),$R$3:$S$718,2,0),"")</f>
        <v>Činnosti související s pozemní dopravou</v>
      </c>
      <c r="U715">
        <f>IF(ISNUMBER(SEARCH('1Př1'!$A$33,N715)),MAX($M$2:M714)+1,0)</f>
        <v>713</v>
      </c>
      <c r="V715" s="287" t="s">
        <v>2136</v>
      </c>
      <c r="W715" t="str">
        <f>IFERROR(VLOOKUP(ROWS($W$3:W715),$U$3:$V$718,2,0),"")</f>
        <v>Činnosti související s pozemní dopravou</v>
      </c>
      <c r="X715">
        <f>IF(ISNUMBER(SEARCH('1Př1'!$A$34,N715)),MAX($M$2:M714)+1,0)</f>
        <v>713</v>
      </c>
      <c r="Y715" s="287" t="s">
        <v>2136</v>
      </c>
      <c r="Z715" t="str">
        <f>IFERROR(VLOOKUP(ROWS($Z$3:Z715),$X$3:$Y$718,2,0),"")</f>
        <v>Činnosti související s pozemní dopravou</v>
      </c>
    </row>
    <row r="716" spans="13:26">
      <c r="M716" s="286">
        <f>IF(ISNUMBER(SEARCH(ZAKL_DATA!$B$29,N716)),MAX($M$2:M715)+1,0)</f>
        <v>714</v>
      </c>
      <c r="N716" s="791" t="s">
        <v>4189</v>
      </c>
      <c r="O716" s="791" t="s">
        <v>4190</v>
      </c>
      <c r="Q716" s="288" t="str">
        <f>IFERROR(VLOOKUP(ROWS($Q$3:Q716),$M$3:$N$718,2,0),"")</f>
        <v>Zprostředkování v oblasti vzdělávání</v>
      </c>
      <c r="R716">
        <f>IF(ISNUMBER(SEARCH('1Př1'!$A$32,N716)),MAX($M$2:M715)+1,0)</f>
        <v>714</v>
      </c>
      <c r="S716" s="287" t="s">
        <v>2137</v>
      </c>
      <c r="T716" t="str">
        <f>IFERROR(VLOOKUP(ROWS($T$3:T716),$R$3:$S$718,2,0),"")</f>
        <v>Činnosti související s vodní dopravou</v>
      </c>
      <c r="U716">
        <f>IF(ISNUMBER(SEARCH('1Př1'!$A$33,N716)),MAX($M$2:M715)+1,0)</f>
        <v>714</v>
      </c>
      <c r="V716" s="287" t="s">
        <v>2137</v>
      </c>
      <c r="W716" t="str">
        <f>IFERROR(VLOOKUP(ROWS($W$3:W716),$U$3:$V$718,2,0),"")</f>
        <v>Činnosti související s vodní dopravou</v>
      </c>
      <c r="X716">
        <f>IF(ISNUMBER(SEARCH('1Př1'!$A$34,N716)),MAX($M$2:M715)+1,0)</f>
        <v>714</v>
      </c>
      <c r="Y716" s="287" t="s">
        <v>2137</v>
      </c>
      <c r="Z716" t="str">
        <f>IFERROR(VLOOKUP(ROWS($Z$3:Z716),$X$3:$Y$718,2,0),"")</f>
        <v>Činnosti související s vodní dopravou</v>
      </c>
    </row>
    <row r="717" spans="13:26">
      <c r="M717" s="286">
        <f>IF(ISNUMBER(SEARCH(ZAKL_DATA!$B$29,N717)),MAX($M$2:M716)+1,0)</f>
        <v>715</v>
      </c>
      <c r="N717" s="791" t="s">
        <v>4191</v>
      </c>
      <c r="O717" s="791" t="s">
        <v>4192</v>
      </c>
      <c r="Q717" s="288" t="str">
        <f>IFERROR(VLOOKUP(ROWS($Q$3:Q717),$M$3:$N$718,2,0),"")</f>
        <v>Zprostředkování v oblasti zdravotní péče</v>
      </c>
      <c r="R717">
        <f>IF(ISNUMBER(SEARCH('1Př1'!$A$32,N717)),MAX($M$2:M716)+1,0)</f>
        <v>715</v>
      </c>
      <c r="S717" s="287" t="s">
        <v>2138</v>
      </c>
      <c r="T717" t="str">
        <f>IFERROR(VLOOKUP(ROWS($T$3:T717),$R$3:$S$718,2,0),"")</f>
        <v>Činnosti související s leteckou dopravou</v>
      </c>
      <c r="U717">
        <f>IF(ISNUMBER(SEARCH('1Př1'!$A$33,N717)),MAX($M$2:M716)+1,0)</f>
        <v>715</v>
      </c>
      <c r="V717" s="287" t="s">
        <v>2138</v>
      </c>
      <c r="W717" t="str">
        <f>IFERROR(VLOOKUP(ROWS($W$3:W717),$U$3:$V$718,2,0),"")</f>
        <v>Činnosti související s leteckou dopravou</v>
      </c>
      <c r="X717">
        <f>IF(ISNUMBER(SEARCH('1Př1'!$A$34,N717)),MAX($M$2:M716)+1,0)</f>
        <v>715</v>
      </c>
      <c r="Y717" s="287" t="s">
        <v>2138</v>
      </c>
      <c r="Z717" t="str">
        <f>IFERROR(VLOOKUP(ROWS($Z$3:Z717),$X$3:$Y$718,2,0),"")</f>
        <v>Činnosti související s leteckou dopravou</v>
      </c>
    </row>
    <row r="718" spans="13:26" ht="13.5" thickBot="1">
      <c r="M718" s="286">
        <f>IF(ISNUMBER(SEARCH(ZAKL_DATA!$B$29,N718)),MAX($M$2:M717)+1,0)</f>
        <v>716</v>
      </c>
      <c r="N718" s="794" t="s">
        <v>2181</v>
      </c>
      <c r="O718" s="794" t="s">
        <v>4193</v>
      </c>
      <c r="Q718" s="309" t="str">
        <f>IFERROR(VLOOKUP(ROWS($Q$3:Q718),$M$3:$N$718,2,0),"")</f>
        <v>Zubní péče</v>
      </c>
      <c r="R718">
        <f>IF(ISNUMBER(SEARCH('1Př1'!$A$32,N718)),MAX($M$2:M717)+1,0)</f>
        <v>716</v>
      </c>
      <c r="S718" s="308" t="s">
        <v>2213</v>
      </c>
      <c r="T718" t="str">
        <f>IFERROR(VLOOKUP(ROWS($T$3:T718),$R$3:$S$718,2,0),"")</f>
        <v>Činnosti ostatních organizací j. n.</v>
      </c>
      <c r="U718">
        <f>IF(ISNUMBER(SEARCH('1Př1'!$A$33,N718)),MAX($M$2:M717)+1,0)</f>
        <v>716</v>
      </c>
      <c r="V718" s="308" t="s">
        <v>2213</v>
      </c>
      <c r="W718" t="str">
        <f>IFERROR(VLOOKUP(ROWS($W$3:W718),$U$3:$V$718,2,0),"")</f>
        <v>Činnosti ostatních organizací j. n.</v>
      </c>
      <c r="X718">
        <f>IF(ISNUMBER(SEARCH('1Př1'!$A$34,N718)),MAX($M$2:M717)+1,0)</f>
        <v>716</v>
      </c>
      <c r="Y718" s="308" t="s">
        <v>2213</v>
      </c>
      <c r="Z718" t="str">
        <f>IFERROR(VLOOKUP(ROWS($Z$3:Z718),$X$3:$Y$718,2,0),"")</f>
        <v>Činnosti ostatních organizací j. n.</v>
      </c>
    </row>
  </sheetData>
  <dataValidations disablePrompts="1" count="1">
    <dataValidation type="list" allowBlank="1" showInputMessage="1" sqref="B20" xr:uid="{00000000-0002-0000-0000-000000000000}">
      <formula1>validation_list2</formula1>
    </dataValidation>
  </dataValidation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2"/>
  <sheetViews>
    <sheetView showZeros="0" workbookViewId="0">
      <selection activeCell="C42" sqref="C42:F44"/>
    </sheetView>
  </sheetViews>
  <sheetFormatPr defaultColWidth="9.140625" defaultRowHeight="12.75"/>
  <cols>
    <col min="1" max="1" width="11.140625" style="3" customWidth="1"/>
    <col min="2" max="2" width="20.42578125" style="3" customWidth="1"/>
    <col min="3" max="3" width="14.140625" style="3" customWidth="1"/>
    <col min="4" max="4" width="4.85546875" style="3" customWidth="1"/>
    <col min="5" max="5" width="11.85546875" style="3" customWidth="1"/>
    <col min="6" max="6" width="11" style="3" customWidth="1"/>
    <col min="7" max="7" width="3.140625" style="3" customWidth="1"/>
    <col min="8" max="8" width="6.7109375" style="3" customWidth="1"/>
    <col min="9" max="9" width="10.28515625" style="3" customWidth="1"/>
    <col min="10" max="11" width="6.7109375" style="3" customWidth="1"/>
    <col min="12" max="16384" width="9.140625" style="2"/>
  </cols>
  <sheetData>
    <row r="1" spans="1:11">
      <c r="A1" s="1228" t="s">
        <v>2262</v>
      </c>
      <c r="B1" s="1229"/>
      <c r="C1" s="1229"/>
      <c r="D1" s="1229"/>
      <c r="E1" s="1229"/>
      <c r="F1" s="1229"/>
      <c r="G1" s="1229"/>
      <c r="H1" s="1229"/>
      <c r="I1" s="1229"/>
      <c r="J1" s="1229"/>
      <c r="K1" s="1229"/>
    </row>
    <row r="2" spans="1:11" ht="14.1" customHeight="1" thickBot="1">
      <c r="A2" s="1230" t="s">
        <v>2710</v>
      </c>
      <c r="B2" s="1231"/>
      <c r="C2" s="1231"/>
      <c r="D2" s="1231"/>
      <c r="E2" s="1231"/>
      <c r="F2" s="1231"/>
      <c r="G2" s="1231"/>
      <c r="H2" s="1231"/>
      <c r="I2" s="1231"/>
      <c r="J2" s="1231"/>
      <c r="K2" s="1231"/>
    </row>
    <row r="3" spans="1:11" ht="15" customHeight="1">
      <c r="A3" s="1232" t="s">
        <v>123</v>
      </c>
      <c r="B3" s="1233"/>
      <c r="C3" s="1233"/>
      <c r="D3" s="1233"/>
      <c r="E3" s="1233"/>
      <c r="F3" s="1233"/>
      <c r="G3" s="1233"/>
      <c r="H3" s="1233"/>
      <c r="I3" s="1233"/>
      <c r="J3" s="1234"/>
      <c r="K3" s="204"/>
    </row>
    <row r="4" spans="1:11" ht="15" customHeight="1">
      <c r="A4" s="1172" t="s">
        <v>2263</v>
      </c>
      <c r="B4" s="1173"/>
      <c r="C4" s="1173"/>
      <c r="D4" s="1173"/>
      <c r="E4" s="1173"/>
      <c r="F4" s="1173"/>
      <c r="G4" s="1173"/>
      <c r="H4" s="1173"/>
      <c r="I4" s="1174"/>
      <c r="J4" s="1175"/>
      <c r="K4" s="202"/>
    </row>
    <row r="5" spans="1:11" ht="15" customHeight="1">
      <c r="A5" s="1172" t="s">
        <v>2363</v>
      </c>
      <c r="B5" s="1173"/>
      <c r="C5" s="1173"/>
      <c r="D5" s="1173"/>
      <c r="E5" s="1173"/>
      <c r="F5" s="1173"/>
      <c r="G5" s="1173"/>
      <c r="H5" s="1173"/>
      <c r="I5" s="1174"/>
      <c r="J5" s="1175"/>
      <c r="K5" s="202"/>
    </row>
    <row r="6" spans="1:11" ht="15" customHeight="1">
      <c r="A6" s="1172" t="s">
        <v>2680</v>
      </c>
      <c r="B6" s="1173"/>
      <c r="C6" s="1173"/>
      <c r="D6" s="1173"/>
      <c r="E6" s="1173"/>
      <c r="F6" s="1173"/>
      <c r="G6" s="1173"/>
      <c r="H6" s="1173"/>
      <c r="I6" s="1174"/>
      <c r="J6" s="1175"/>
      <c r="K6" s="202"/>
    </row>
    <row r="7" spans="1:11" ht="15" customHeight="1">
      <c r="A7" s="1172" t="s">
        <v>2554</v>
      </c>
      <c r="B7" s="1173"/>
      <c r="C7" s="1173"/>
      <c r="D7" s="1173"/>
      <c r="E7" s="1173"/>
      <c r="F7" s="1173"/>
      <c r="G7" s="1173"/>
      <c r="H7" s="1173"/>
      <c r="I7" s="1174"/>
      <c r="J7" s="1175"/>
      <c r="K7" s="202"/>
    </row>
    <row r="8" spans="1:11" ht="15" customHeight="1">
      <c r="A8" s="1172" t="s">
        <v>217</v>
      </c>
      <c r="B8" s="1173"/>
      <c r="C8" s="1173"/>
      <c r="D8" s="1173"/>
      <c r="E8" s="1173"/>
      <c r="F8" s="1173"/>
      <c r="G8" s="1173"/>
      <c r="H8" s="1173"/>
      <c r="I8" s="1174"/>
      <c r="J8" s="1175"/>
      <c r="K8" s="202"/>
    </row>
    <row r="9" spans="1:11" ht="24" customHeight="1">
      <c r="A9" s="1172" t="s">
        <v>2264</v>
      </c>
      <c r="B9" s="1173"/>
      <c r="C9" s="1173"/>
      <c r="D9" s="1173"/>
      <c r="E9" s="1173"/>
      <c r="F9" s="1173"/>
      <c r="G9" s="1173"/>
      <c r="H9" s="1173"/>
      <c r="I9" s="1174"/>
      <c r="J9" s="1175"/>
      <c r="K9" s="202"/>
    </row>
    <row r="10" spans="1:11" ht="15" customHeight="1">
      <c r="A10" s="1172" t="s">
        <v>66</v>
      </c>
      <c r="B10" s="1173"/>
      <c r="C10" s="1173"/>
      <c r="D10" s="1173"/>
      <c r="E10" s="1173"/>
      <c r="F10" s="1173"/>
      <c r="G10" s="1173"/>
      <c r="H10" s="1173"/>
      <c r="I10" s="1174"/>
      <c r="J10" s="1175"/>
      <c r="K10" s="202"/>
    </row>
    <row r="11" spans="1:11" ht="15" customHeight="1">
      <c r="A11" s="1172" t="s">
        <v>2364</v>
      </c>
      <c r="B11" s="1173"/>
      <c r="C11" s="1173"/>
      <c r="D11" s="1173"/>
      <c r="E11" s="1173"/>
      <c r="F11" s="1173"/>
      <c r="G11" s="1173"/>
      <c r="H11" s="1173"/>
      <c r="I11" s="1174"/>
      <c r="J11" s="1175"/>
      <c r="K11" s="202"/>
    </row>
    <row r="12" spans="1:11" ht="15" customHeight="1">
      <c r="A12" s="1172" t="s">
        <v>2365</v>
      </c>
      <c r="B12" s="1173"/>
      <c r="C12" s="1173"/>
      <c r="D12" s="1173"/>
      <c r="E12" s="1173"/>
      <c r="F12" s="1173"/>
      <c r="G12" s="1173"/>
      <c r="H12" s="1173"/>
      <c r="I12" s="1174"/>
      <c r="J12" s="1175"/>
      <c r="K12" s="202"/>
    </row>
    <row r="13" spans="1:11" ht="15" customHeight="1">
      <c r="A13" s="1172" t="s">
        <v>2366</v>
      </c>
      <c r="B13" s="1173"/>
      <c r="C13" s="1173"/>
      <c r="D13" s="1173"/>
      <c r="E13" s="1173"/>
      <c r="F13" s="1173"/>
      <c r="G13" s="1173"/>
      <c r="H13" s="1173"/>
      <c r="I13" s="1174"/>
      <c r="J13" s="1175"/>
      <c r="K13" s="202"/>
    </row>
    <row r="14" spans="1:11" ht="15" customHeight="1">
      <c r="A14" s="1172" t="s">
        <v>2681</v>
      </c>
      <c r="B14" s="1173"/>
      <c r="C14" s="1173"/>
      <c r="D14" s="1173"/>
      <c r="E14" s="1173"/>
      <c r="F14" s="1173"/>
      <c r="G14" s="1173"/>
      <c r="H14" s="1173"/>
      <c r="I14" s="1174"/>
      <c r="J14" s="1175"/>
      <c r="K14" s="202">
        <v>0</v>
      </c>
    </row>
    <row r="15" spans="1:11" ht="15" customHeight="1">
      <c r="A15" s="1172" t="s">
        <v>2682</v>
      </c>
      <c r="B15" s="1173"/>
      <c r="C15" s="1173"/>
      <c r="D15" s="1173"/>
      <c r="E15" s="1173"/>
      <c r="F15" s="1173"/>
      <c r="G15" s="1173"/>
      <c r="H15" s="1173"/>
      <c r="I15" s="1174"/>
      <c r="J15" s="1175"/>
      <c r="K15" s="202"/>
    </row>
    <row r="16" spans="1:11" ht="15" customHeight="1">
      <c r="A16" s="1172" t="s">
        <v>2632</v>
      </c>
      <c r="B16" s="1173"/>
      <c r="C16" s="1173"/>
      <c r="D16" s="1173"/>
      <c r="E16" s="1173"/>
      <c r="F16" s="1173"/>
      <c r="G16" s="1173"/>
      <c r="H16" s="1173"/>
      <c r="I16" s="1174"/>
      <c r="J16" s="1175"/>
      <c r="K16" s="202"/>
    </row>
    <row r="17" spans="1:11" ht="15" customHeight="1">
      <c r="A17" s="1172" t="s">
        <v>2326</v>
      </c>
      <c r="B17" s="1173"/>
      <c r="C17" s="1173"/>
      <c r="D17" s="1173"/>
      <c r="E17" s="1173"/>
      <c r="F17" s="1173"/>
      <c r="G17" s="1173"/>
      <c r="H17" s="1173"/>
      <c r="I17" s="1174"/>
      <c r="J17" s="1175"/>
      <c r="K17" s="202"/>
    </row>
    <row r="18" spans="1:11" ht="15" customHeight="1">
      <c r="A18" s="1172" t="s">
        <v>196</v>
      </c>
      <c r="B18" s="1173"/>
      <c r="C18" s="1173"/>
      <c r="D18" s="1173"/>
      <c r="E18" s="1173"/>
      <c r="F18" s="1173"/>
      <c r="G18" s="1173"/>
      <c r="H18" s="1173"/>
      <c r="I18" s="1174"/>
      <c r="J18" s="1175"/>
      <c r="K18" s="202"/>
    </row>
    <row r="19" spans="1:11" ht="15" customHeight="1">
      <c r="A19" s="1172" t="s">
        <v>2461</v>
      </c>
      <c r="B19" s="1173"/>
      <c r="C19" s="1173"/>
      <c r="D19" s="1173"/>
      <c r="E19" s="1173"/>
      <c r="F19" s="1173"/>
      <c r="G19" s="1173"/>
      <c r="H19" s="1173"/>
      <c r="I19" s="1174"/>
      <c r="J19" s="1175"/>
      <c r="K19" s="202"/>
    </row>
    <row r="20" spans="1:11" ht="15" customHeight="1">
      <c r="A20" s="1172" t="s">
        <v>67</v>
      </c>
      <c r="B20" s="1173"/>
      <c r="C20" s="1173"/>
      <c r="D20" s="1173"/>
      <c r="E20" s="1173"/>
      <c r="F20" s="1173"/>
      <c r="G20" s="1173"/>
      <c r="H20" s="1173"/>
      <c r="I20" s="1174"/>
      <c r="J20" s="1175"/>
      <c r="K20" s="202"/>
    </row>
    <row r="21" spans="1:11" ht="15" customHeight="1">
      <c r="A21" s="1172" t="s">
        <v>68</v>
      </c>
      <c r="B21" s="1173"/>
      <c r="C21" s="1173"/>
      <c r="D21" s="1173"/>
      <c r="E21" s="1173"/>
      <c r="F21" s="1173"/>
      <c r="G21" s="1173"/>
      <c r="H21" s="1173"/>
      <c r="I21" s="1174"/>
      <c r="J21" s="1175"/>
      <c r="K21" s="202"/>
    </row>
    <row r="22" spans="1:11" ht="15" customHeight="1">
      <c r="A22" s="1172" t="s">
        <v>266</v>
      </c>
      <c r="B22" s="1173"/>
      <c r="C22" s="1173"/>
      <c r="D22" s="1173"/>
      <c r="E22" s="1173"/>
      <c r="F22" s="1173"/>
      <c r="G22" s="1173"/>
      <c r="H22" s="1173"/>
      <c r="I22" s="1174"/>
      <c r="J22" s="1175"/>
      <c r="K22" s="202"/>
    </row>
    <row r="23" spans="1:11" ht="15" customHeight="1">
      <c r="A23" s="1172" t="s">
        <v>2514</v>
      </c>
      <c r="B23" s="1173"/>
      <c r="C23" s="1173"/>
      <c r="D23" s="1173"/>
      <c r="E23" s="1173"/>
      <c r="F23" s="1173"/>
      <c r="G23" s="1173"/>
      <c r="H23" s="1173"/>
      <c r="I23" s="1174"/>
      <c r="J23" s="1175"/>
      <c r="K23" s="202"/>
    </row>
    <row r="24" spans="1:11" ht="24" customHeight="1">
      <c r="A24" s="1172" t="s">
        <v>2515</v>
      </c>
      <c r="B24" s="1173"/>
      <c r="C24" s="1173"/>
      <c r="D24" s="1173"/>
      <c r="E24" s="1173"/>
      <c r="F24" s="1173"/>
      <c r="G24" s="1173"/>
      <c r="H24" s="1173"/>
      <c r="I24" s="1174"/>
      <c r="J24" s="1175"/>
      <c r="K24" s="202"/>
    </row>
    <row r="25" spans="1:11" ht="15" customHeight="1">
      <c r="A25" s="1172" t="s">
        <v>127</v>
      </c>
      <c r="B25" s="1173"/>
      <c r="C25" s="1173"/>
      <c r="D25" s="1173"/>
      <c r="E25" s="1173"/>
      <c r="F25" s="1173"/>
      <c r="G25" s="1173"/>
      <c r="H25" s="1173"/>
      <c r="I25" s="1174"/>
      <c r="J25" s="1175"/>
      <c r="K25" s="202"/>
    </row>
    <row r="26" spans="1:11" ht="15" customHeight="1" thickBot="1">
      <c r="A26" s="1224" t="s">
        <v>69</v>
      </c>
      <c r="B26" s="1225"/>
      <c r="C26" s="1225"/>
      <c r="D26" s="1225"/>
      <c r="E26" s="1225"/>
      <c r="F26" s="1225"/>
      <c r="G26" s="1225"/>
      <c r="H26" s="1225"/>
      <c r="I26" s="1226"/>
      <c r="J26" s="1227"/>
      <c r="K26" s="203">
        <f>SUM(K4:K25)</f>
        <v>0</v>
      </c>
    </row>
    <row r="27" spans="1:11" ht="12" customHeight="1" thickBot="1">
      <c r="A27" s="1184"/>
      <c r="B27" s="1184"/>
      <c r="C27" s="1184"/>
      <c r="D27" s="1184"/>
      <c r="E27" s="1184"/>
      <c r="F27" s="1184"/>
      <c r="G27" s="1184"/>
      <c r="H27" s="1184"/>
      <c r="I27" s="1184"/>
      <c r="J27" s="1184"/>
      <c r="K27" s="1184"/>
    </row>
    <row r="28" spans="1:11" ht="12" customHeight="1" thickBot="1">
      <c r="A28" s="1185"/>
      <c r="B28" s="814"/>
      <c r="C28" s="814"/>
      <c r="D28" s="814"/>
      <c r="E28" s="814"/>
      <c r="F28" s="814"/>
      <c r="G28" s="814"/>
      <c r="H28" s="814"/>
      <c r="I28" s="814"/>
      <c r="J28" s="814"/>
      <c r="K28" s="814"/>
    </row>
    <row r="29" spans="1:11" ht="14.1" customHeight="1">
      <c r="A29" s="1242" t="s">
        <v>2266</v>
      </c>
      <c r="B29" s="1018"/>
      <c r="C29" s="1189" t="s">
        <v>2265</v>
      </c>
      <c r="D29" s="1189"/>
      <c r="E29" s="1249"/>
      <c r="F29" s="1249"/>
      <c r="G29" s="1249"/>
      <c r="H29" s="1249"/>
      <c r="I29" s="1249"/>
      <c r="J29" s="1249"/>
      <c r="K29" s="1250"/>
    </row>
    <row r="30" spans="1:11" ht="18" customHeight="1">
      <c r="A30" s="1239"/>
      <c r="B30" s="1240"/>
      <c r="C30" s="1190"/>
      <c r="D30" s="1191"/>
      <c r="E30" s="923"/>
      <c r="F30" s="923"/>
      <c r="G30" s="923"/>
      <c r="H30" s="923"/>
      <c r="I30" s="923"/>
      <c r="J30" s="923"/>
      <c r="K30" s="1241"/>
    </row>
    <row r="31" spans="1:11" ht="14.1" customHeight="1">
      <c r="A31" s="1186" t="s">
        <v>267</v>
      </c>
      <c r="B31" s="1187"/>
      <c r="C31" s="1187"/>
      <c r="D31" s="1187"/>
      <c r="E31" s="1187"/>
      <c r="F31" s="1187"/>
      <c r="G31" s="1187"/>
      <c r="H31" s="1187"/>
      <c r="I31" s="1187"/>
      <c r="J31" s="1187"/>
      <c r="K31" s="1188"/>
    </row>
    <row r="32" spans="1:11" ht="18" customHeight="1">
      <c r="A32" s="1181" t="str">
        <f>+CONCATENATE(ZAKL_DATA!D21," ",ZAKL_DATA!D20," ",ZAKL_DATA!D22)</f>
        <v xml:space="preserve">  </v>
      </c>
      <c r="B32" s="1182"/>
      <c r="C32" s="1182"/>
      <c r="D32" s="1182"/>
      <c r="E32" s="1182"/>
      <c r="F32" s="1182"/>
      <c r="G32" s="1182"/>
      <c r="H32" s="1182"/>
      <c r="I32" s="1182"/>
      <c r="J32" s="1182"/>
      <c r="K32" s="1183"/>
    </row>
    <row r="33" spans="1:11" ht="14.1" customHeight="1">
      <c r="A33" s="1186" t="s">
        <v>31</v>
      </c>
      <c r="B33" s="1187"/>
      <c r="C33" s="1187"/>
      <c r="D33" s="1187"/>
      <c r="E33" s="1187"/>
      <c r="F33" s="1187"/>
      <c r="G33" s="1187"/>
      <c r="H33" s="1187"/>
      <c r="I33" s="1187"/>
      <c r="J33" s="1187"/>
      <c r="K33" s="1188"/>
    </row>
    <row r="34" spans="1:11" ht="18" customHeight="1">
      <c r="A34" s="1181"/>
      <c r="B34" s="1182"/>
      <c r="C34" s="1182"/>
      <c r="D34" s="1182"/>
      <c r="E34" s="1182"/>
      <c r="F34" s="1182"/>
      <c r="G34" s="1182"/>
      <c r="H34" s="1182"/>
      <c r="I34" s="1182"/>
      <c r="J34" s="1182"/>
      <c r="K34" s="1183"/>
    </row>
    <row r="35" spans="1:11" ht="14.1" customHeight="1">
      <c r="A35" s="1238" t="s">
        <v>2462</v>
      </c>
      <c r="B35" s="1187"/>
      <c r="C35" s="1187"/>
      <c r="D35" s="1187"/>
      <c r="E35" s="1187"/>
      <c r="F35" s="1187"/>
      <c r="G35" s="1187"/>
      <c r="H35" s="1187"/>
      <c r="I35" s="1187"/>
      <c r="J35" s="1187"/>
      <c r="K35" s="1188"/>
    </row>
    <row r="36" spans="1:11" ht="14.1" customHeight="1">
      <c r="A36" s="1238" t="s">
        <v>2267</v>
      </c>
      <c r="B36" s="1187"/>
      <c r="C36" s="1187"/>
      <c r="D36" s="1187"/>
      <c r="E36" s="1187"/>
      <c r="F36" s="1187"/>
      <c r="G36" s="1187"/>
      <c r="H36" s="1187"/>
      <c r="I36" s="1187"/>
      <c r="J36" s="1187"/>
      <c r="K36" s="1188"/>
    </row>
    <row r="37" spans="1:11" ht="14.1" customHeight="1">
      <c r="A37" s="1186" t="s">
        <v>268</v>
      </c>
      <c r="B37" s="1187"/>
      <c r="C37" s="1187"/>
      <c r="D37" s="1187"/>
      <c r="E37" s="1187"/>
      <c r="F37" s="1187"/>
      <c r="G37" s="1187"/>
      <c r="H37" s="1187"/>
      <c r="I37" s="1187"/>
      <c r="J37" s="1187"/>
      <c r="K37" s="1188"/>
    </row>
    <row r="38" spans="1:11" ht="18" customHeight="1">
      <c r="A38" s="1181" t="str">
        <f>+CONCATENATE(ZAKL_DATA!D21," ",ZAKL_DATA!D20," ",ZAKL_DATA!D22)</f>
        <v xml:space="preserve">  </v>
      </c>
      <c r="B38" s="1182"/>
      <c r="C38" s="1182"/>
      <c r="D38" s="1182"/>
      <c r="E38" s="1182"/>
      <c r="F38" s="1182"/>
      <c r="G38" s="1182"/>
      <c r="H38" s="1182"/>
      <c r="I38" s="1182"/>
      <c r="J38" s="1182"/>
      <c r="K38" s="1183"/>
    </row>
    <row r="39" spans="1:11" ht="5.0999999999999996" customHeight="1" thickBot="1">
      <c r="A39" s="1235"/>
      <c r="B39" s="1236"/>
      <c r="C39" s="1236"/>
      <c r="D39" s="1236"/>
      <c r="E39" s="1236"/>
      <c r="F39" s="1236"/>
      <c r="G39" s="1236"/>
      <c r="H39" s="1236"/>
      <c r="I39" s="1236"/>
      <c r="J39" s="1236"/>
      <c r="K39" s="1237"/>
    </row>
    <row r="40" spans="1:11" ht="5.0999999999999996" customHeight="1" thickBot="1">
      <c r="A40" s="1256"/>
      <c r="B40" s="1187"/>
      <c r="C40" s="1187"/>
      <c r="D40" s="1187"/>
      <c r="E40" s="1187"/>
      <c r="F40" s="1187"/>
      <c r="G40" s="1187"/>
      <c r="H40" s="1187"/>
      <c r="I40" s="1187"/>
      <c r="J40" s="1187"/>
      <c r="K40" s="1187"/>
    </row>
    <row r="41" spans="1:11" ht="18" customHeight="1">
      <c r="A41" s="1257" t="s">
        <v>2683</v>
      </c>
      <c r="B41" s="1258"/>
      <c r="C41" s="1258"/>
      <c r="D41" s="1258"/>
      <c r="E41" s="1258"/>
      <c r="F41" s="1258"/>
      <c r="G41" s="1258"/>
      <c r="H41" s="1258"/>
      <c r="I41" s="1258"/>
      <c r="J41" s="1258"/>
      <c r="K41" s="1259"/>
    </row>
    <row r="42" spans="1:11" ht="21.75" customHeight="1">
      <c r="A42" s="1254" t="s">
        <v>319</v>
      </c>
      <c r="B42" s="1255"/>
      <c r="C42" s="1211" t="s">
        <v>2268</v>
      </c>
      <c r="D42" s="1211"/>
      <c r="E42" s="1211"/>
      <c r="F42" s="1211"/>
      <c r="G42" s="1251" t="s">
        <v>270</v>
      </c>
      <c r="H42" s="1252"/>
      <c r="I42" s="1252"/>
      <c r="J42" s="1252"/>
      <c r="K42" s="1253"/>
    </row>
    <row r="43" spans="1:11" ht="18" customHeight="1">
      <c r="A43" s="1262">
        <f ca="1">+TODAY()</f>
        <v>46094</v>
      </c>
      <c r="B43" s="1263"/>
      <c r="C43" s="1211"/>
      <c r="D43" s="1211"/>
      <c r="E43" s="1211"/>
      <c r="F43" s="1211"/>
      <c r="G43" s="1205"/>
      <c r="H43" s="1206"/>
      <c r="I43" s="1206"/>
      <c r="J43" s="1206"/>
      <c r="K43" s="1207"/>
    </row>
    <row r="44" spans="1:11" ht="18" customHeight="1">
      <c r="A44" s="1260"/>
      <c r="B44" s="1261"/>
      <c r="C44" s="1211"/>
      <c r="D44" s="1211"/>
      <c r="E44" s="1211"/>
      <c r="F44" s="1211"/>
      <c r="G44" s="1208"/>
      <c r="H44" s="1209"/>
      <c r="I44" s="1209"/>
      <c r="J44" s="1209"/>
      <c r="K44" s="1210"/>
    </row>
    <row r="45" spans="1:11" ht="5.0999999999999996" customHeight="1" thickBot="1">
      <c r="A45" s="1216"/>
      <c r="B45" s="885"/>
      <c r="C45" s="885"/>
      <c r="D45" s="885"/>
      <c r="E45" s="885"/>
      <c r="F45" s="885"/>
      <c r="G45" s="885"/>
      <c r="H45" s="885"/>
      <c r="I45" s="885"/>
      <c r="J45" s="885"/>
      <c r="K45" s="1217"/>
    </row>
    <row r="46" spans="1:11" ht="5.0999999999999996" customHeight="1">
      <c r="A46" s="886"/>
      <c r="B46" s="895"/>
      <c r="C46" s="895"/>
      <c r="D46" s="895"/>
      <c r="E46" s="895"/>
      <c r="F46" s="895"/>
      <c r="G46" s="895"/>
      <c r="H46" s="895"/>
      <c r="I46" s="895"/>
      <c r="J46" s="895"/>
      <c r="K46" s="895"/>
    </row>
    <row r="47" spans="1:11" s="20" customFormat="1" ht="14.1" customHeight="1">
      <c r="A47" s="950"/>
      <c r="B47" s="814"/>
      <c r="C47" s="814"/>
      <c r="D47" s="814"/>
      <c r="E47" s="814"/>
      <c r="F47" s="1194" t="s">
        <v>222</v>
      </c>
      <c r="G47" s="858"/>
      <c r="H47" s="858"/>
      <c r="I47" s="858"/>
      <c r="J47" s="858"/>
      <c r="K47" s="859"/>
    </row>
    <row r="48" spans="1:11" s="20" customFormat="1" ht="9.9499999999999993" customHeight="1">
      <c r="A48" s="1248" t="s">
        <v>122</v>
      </c>
      <c r="B48" s="814"/>
      <c r="C48" s="814"/>
      <c r="D48" s="814"/>
      <c r="E48" s="814"/>
      <c r="F48" s="860"/>
      <c r="G48" s="814"/>
      <c r="H48" s="814"/>
      <c r="I48" s="814"/>
      <c r="J48" s="814"/>
      <c r="K48" s="840"/>
    </row>
    <row r="49" spans="1:11" s="20" customFormat="1" ht="21" customHeight="1">
      <c r="A49" s="1247" t="s">
        <v>2269</v>
      </c>
      <c r="B49" s="893"/>
      <c r="C49" s="893"/>
      <c r="D49" s="893"/>
      <c r="E49" s="893"/>
      <c r="F49" s="860"/>
      <c r="G49" s="814"/>
      <c r="H49" s="814"/>
      <c r="I49" s="814"/>
      <c r="J49" s="814"/>
      <c r="K49" s="840"/>
    </row>
    <row r="50" spans="1:11" s="20" customFormat="1" ht="21" customHeight="1">
      <c r="A50" s="1176" t="s">
        <v>70</v>
      </c>
      <c r="B50" s="1177"/>
      <c r="C50" s="1177"/>
      <c r="D50" s="1177"/>
      <c r="E50" s="1177"/>
      <c r="F50" s="860"/>
      <c r="G50" s="814"/>
      <c r="H50" s="814"/>
      <c r="I50" s="814"/>
      <c r="J50" s="814"/>
      <c r="K50" s="1195"/>
    </row>
    <row r="51" spans="1:11" s="20" customFormat="1" ht="18" customHeight="1">
      <c r="A51" s="1192" t="s">
        <v>2711</v>
      </c>
      <c r="B51" s="1193"/>
      <c r="C51" s="1193"/>
      <c r="D51" s="1193"/>
      <c r="E51" s="1193"/>
      <c r="F51" s="861"/>
      <c r="G51" s="862"/>
      <c r="H51" s="862"/>
      <c r="I51" s="862"/>
      <c r="J51" s="862"/>
      <c r="K51" s="863"/>
    </row>
    <row r="52" spans="1:11" s="20" customFormat="1" ht="5.0999999999999996" customHeight="1" thickBot="1">
      <c r="A52" s="917"/>
      <c r="B52" s="1223"/>
      <c r="C52" s="1223"/>
      <c r="D52" s="1223"/>
      <c r="E52" s="1223"/>
      <c r="F52" s="1223"/>
      <c r="G52" s="1223"/>
      <c r="H52" s="1223"/>
      <c r="I52" s="1223"/>
      <c r="J52" s="1223"/>
      <c r="K52" s="1223"/>
    </row>
    <row r="53" spans="1:11" s="20" customFormat="1" ht="18" customHeight="1">
      <c r="A53" s="1220" t="s">
        <v>2270</v>
      </c>
      <c r="B53" s="1221"/>
      <c r="C53" s="1221"/>
      <c r="D53" s="1221"/>
      <c r="E53" s="1221"/>
      <c r="F53" s="1221"/>
      <c r="G53" s="1221"/>
      <c r="H53" s="1221"/>
      <c r="I53" s="1221"/>
      <c r="J53" s="1221"/>
      <c r="K53" s="1222"/>
    </row>
    <row r="54" spans="1:11" s="20" customFormat="1" ht="18" customHeight="1">
      <c r="A54" s="1218" t="s">
        <v>2684</v>
      </c>
      <c r="B54" s="1213"/>
      <c r="C54" s="1213"/>
      <c r="D54" s="1213"/>
      <c r="E54" s="1213"/>
      <c r="F54" s="1213"/>
      <c r="G54" s="1213"/>
      <c r="H54" s="1213"/>
      <c r="I54" s="1213"/>
      <c r="J54" s="1213"/>
      <c r="K54" s="1219"/>
    </row>
    <row r="55" spans="1:11" s="20" customFormat="1" ht="18" customHeight="1">
      <c r="A55" s="1218" t="s">
        <v>160</v>
      </c>
      <c r="B55" s="814"/>
      <c r="C55" s="814"/>
      <c r="D55" s="1214">
        <f>MAX(-'DAP3'!D48,-'DAP3'!D35,0)</f>
        <v>0</v>
      </c>
      <c r="E55" s="1178"/>
      <c r="F55" s="1178"/>
      <c r="G55" s="1178"/>
      <c r="H55" s="1178"/>
      <c r="I55" s="1178"/>
      <c r="J55" s="1179"/>
      <c r="K55" s="99" t="s">
        <v>33</v>
      </c>
    </row>
    <row r="56" spans="1:11" s="20" customFormat="1" ht="18" customHeight="1">
      <c r="A56" s="1218" t="s">
        <v>2271</v>
      </c>
      <c r="B56" s="814"/>
      <c r="C56" s="1180" t="str">
        <f>IF(D55=0," ",+CONCATENATE(ZAKL_DATA!B16," ",ZAKL_DATA!B17,", ",ZAKL_DATA!B18))</f>
        <v xml:space="preserve"> </v>
      </c>
      <c r="D56" s="1179"/>
      <c r="E56" s="1179"/>
      <c r="F56" s="1179"/>
      <c r="G56" s="1179"/>
      <c r="H56" s="1179"/>
      <c r="I56" s="1179"/>
      <c r="J56" s="1179"/>
      <c r="K56" s="99"/>
    </row>
    <row r="57" spans="1:11" s="20" customFormat="1" ht="18" customHeight="1">
      <c r="A57" s="98" t="s">
        <v>2494</v>
      </c>
      <c r="B57" s="72"/>
      <c r="C57" s="1178" t="str">
        <f>IF(D55=0," ",+CONCATENATE(ZAKL_DATA!B34))</f>
        <v xml:space="preserve"> </v>
      </c>
      <c r="D57" s="1179"/>
      <c r="E57" s="1179"/>
      <c r="F57" s="254" t="s">
        <v>205</v>
      </c>
      <c r="G57" s="1178" t="str">
        <f>IF(D55=0," ",+CONCATENATE(ZAKL_DATA!B32))</f>
        <v xml:space="preserve"> </v>
      </c>
      <c r="H57" s="1178"/>
      <c r="I57" s="1178"/>
      <c r="J57" s="1178"/>
      <c r="K57" s="99"/>
    </row>
    <row r="58" spans="1:11" s="20" customFormat="1" ht="18" customHeight="1">
      <c r="A58" s="98" t="s">
        <v>32</v>
      </c>
      <c r="B58" s="1212" t="str">
        <f>IF(D55=0," ",+CONCATENATE(ZAKL_DATA!B33))</f>
        <v xml:space="preserve"> </v>
      </c>
      <c r="C58" s="1212"/>
      <c r="D58" s="1212"/>
      <c r="E58" s="1213" t="s">
        <v>207</v>
      </c>
      <c r="F58" s="1213"/>
      <c r="G58" s="1213"/>
      <c r="H58" s="1215"/>
      <c r="I58" s="1215"/>
      <c r="J58" s="1215"/>
      <c r="K58" s="99"/>
    </row>
    <row r="59" spans="1:11" s="20" customFormat="1" ht="18" customHeight="1">
      <c r="A59" s="98" t="s">
        <v>190</v>
      </c>
      <c r="B59" s="1203" t="str">
        <f>IF(D55=0," ",+CONCATENATE('DAP1'!B28," ",'DAP1'!J28))</f>
        <v xml:space="preserve"> </v>
      </c>
      <c r="C59" s="1203"/>
      <c r="D59" s="1204" t="s">
        <v>2272</v>
      </c>
      <c r="E59" s="814"/>
      <c r="F59" s="814"/>
      <c r="G59" s="814"/>
      <c r="H59" s="1203" t="s">
        <v>186</v>
      </c>
      <c r="I59" s="1203"/>
      <c r="J59" s="1203"/>
      <c r="K59" s="99"/>
    </row>
    <row r="60" spans="1:11" s="20" customFormat="1" ht="36" customHeight="1" thickBot="1">
      <c r="A60" s="1196" t="str">
        <f>CONCATENATE(+'DAP1'!B31,", dne ")</f>
        <v xml:space="preserve">0, dne </v>
      </c>
      <c r="B60" s="1197"/>
      <c r="C60" s="498">
        <f ca="1">+TODAY()</f>
        <v>46094</v>
      </c>
      <c r="D60" s="1198" t="s">
        <v>2508</v>
      </c>
      <c r="E60" s="1199"/>
      <c r="F60" s="1200"/>
      <c r="G60" s="1201"/>
      <c r="H60" s="1201"/>
      <c r="I60" s="1201"/>
      <c r="J60" s="1201"/>
      <c r="K60" s="1202"/>
    </row>
    <row r="61" spans="1:11">
      <c r="A61" s="1244" t="str">
        <f>+'DAP1'!A46:L46</f>
        <v>Formulář zpracovala ASPEKT HM, daňová, účetní a auditorská kancelář, www.danovapriznani.cz, business.center.cz</v>
      </c>
      <c r="B61" s="1245"/>
      <c r="C61" s="1245"/>
      <c r="D61" s="1245"/>
      <c r="E61" s="1245"/>
      <c r="F61" s="1245"/>
      <c r="G61" s="1245"/>
      <c r="H61" s="1245"/>
      <c r="I61" s="1245"/>
      <c r="J61" s="1245"/>
      <c r="K61" s="1246"/>
    </row>
    <row r="62" spans="1:11">
      <c r="A62" s="1063">
        <v>4</v>
      </c>
      <c r="B62" s="1063"/>
      <c r="C62" s="1063"/>
      <c r="D62" s="1063"/>
      <c r="E62" s="1063"/>
      <c r="F62" s="1063"/>
      <c r="G62" s="1063"/>
      <c r="H62" s="1063"/>
      <c r="I62" s="1063"/>
      <c r="J62" s="1063"/>
      <c r="K62" s="1243"/>
    </row>
  </sheetData>
  <sheetProtection algorithmName="SHA-512" hashValue="d0nEkBZN183NzT5wXPKdxnBOdbAJHa7D5uzyfFiGL4Ob7D6F2DOmZdvsd/iYudsPTbCIBP40F6VBURNdHGiY7w==" saltValue="bhlJnX+ZYlUMj6EO9KugLg==" spinCount="100000" sheet="1" objects="1" scenarios="1"/>
  <mergeCells count="79">
    <mergeCell ref="A5:J5"/>
    <mergeCell ref="A6:J6"/>
    <mergeCell ref="A18:J18"/>
    <mergeCell ref="A62:K62"/>
    <mergeCell ref="A61:K61"/>
    <mergeCell ref="A49:E49"/>
    <mergeCell ref="A47:E47"/>
    <mergeCell ref="A48:E48"/>
    <mergeCell ref="H59:J59"/>
    <mergeCell ref="E29:K29"/>
    <mergeCell ref="G42:K42"/>
    <mergeCell ref="A42:B42"/>
    <mergeCell ref="A40:K40"/>
    <mergeCell ref="A41:K41"/>
    <mergeCell ref="A44:B44"/>
    <mergeCell ref="A43:B43"/>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8:J8"/>
    <mergeCell ref="A11:J11"/>
    <mergeCell ref="A26:J26"/>
    <mergeCell ref="A9:J9"/>
    <mergeCell ref="A13:J13"/>
    <mergeCell ref="A12:J12"/>
    <mergeCell ref="A10:J10"/>
    <mergeCell ref="A15:J15"/>
    <mergeCell ref="A16:J16"/>
    <mergeCell ref="A17:J17"/>
    <mergeCell ref="A23:J23"/>
    <mergeCell ref="A24:J24"/>
    <mergeCell ref="A14:J14"/>
    <mergeCell ref="G43:K44"/>
    <mergeCell ref="C42:F44"/>
    <mergeCell ref="B58:D58"/>
    <mergeCell ref="E58:G58"/>
    <mergeCell ref="D55:J55"/>
    <mergeCell ref="H58:J58"/>
    <mergeCell ref="A45:K45"/>
    <mergeCell ref="A54:K54"/>
    <mergeCell ref="A56:B56"/>
    <mergeCell ref="G57:J57"/>
    <mergeCell ref="A53:K53"/>
    <mergeCell ref="A52:K52"/>
    <mergeCell ref="A55:C55"/>
    <mergeCell ref="A60:B60"/>
    <mergeCell ref="D60:E60"/>
    <mergeCell ref="F60:K60"/>
    <mergeCell ref="B59:C59"/>
    <mergeCell ref="D59:G59"/>
    <mergeCell ref="A7:J7"/>
    <mergeCell ref="A50:E50"/>
    <mergeCell ref="C57:E57"/>
    <mergeCell ref="C56:J56"/>
    <mergeCell ref="A32:K32"/>
    <mergeCell ref="A25:J25"/>
    <mergeCell ref="A21:J21"/>
    <mergeCell ref="A22:J22"/>
    <mergeCell ref="A27:K27"/>
    <mergeCell ref="A28:K28"/>
    <mergeCell ref="A31:K31"/>
    <mergeCell ref="C29:D29"/>
    <mergeCell ref="C30:D30"/>
    <mergeCell ref="A46:K46"/>
    <mergeCell ref="A51:E51"/>
    <mergeCell ref="F47:K51"/>
  </mergeCells>
  <phoneticPr fontId="11" type="noConversion"/>
  <printOptions horizontalCentered="1" verticalCentered="1"/>
  <pageMargins left="0.19685039370078741" right="0.19685039370078741" top="0.39370078740157483" bottom="0.19685039370078741" header="0.51181102362204722" footer="0.51181102362204722"/>
  <pageSetup paperSize="9" scale="8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389629810485"/>
  </sheetPr>
  <dimension ref="A1:E49"/>
  <sheetViews>
    <sheetView topLeftCell="A13" workbookViewId="0">
      <selection activeCell="C30" sqref="C30"/>
    </sheetView>
  </sheetViews>
  <sheetFormatPr defaultColWidth="9.140625" defaultRowHeight="12.75"/>
  <cols>
    <col min="1" max="1" width="37.140625" style="42" customWidth="1"/>
    <col min="2" max="3" width="29.85546875" style="42" customWidth="1"/>
    <col min="4" max="16384" width="9.140625" style="42"/>
  </cols>
  <sheetData>
    <row r="1" spans="1:5">
      <c r="A1" s="1264" t="s">
        <v>2305</v>
      </c>
      <c r="B1" s="1264"/>
      <c r="C1" s="1264"/>
    </row>
    <row r="2" spans="1:5" ht="18">
      <c r="A2" s="1269" t="s">
        <v>218</v>
      </c>
      <c r="B2" s="1269"/>
      <c r="C2" s="1269"/>
      <c r="D2" s="43"/>
      <c r="E2" s="43"/>
    </row>
    <row r="3" spans="1:5" ht="15.75">
      <c r="A3" s="1270" t="s">
        <v>2712</v>
      </c>
      <c r="B3" s="1270"/>
      <c r="C3" s="1270"/>
      <c r="D3" s="43"/>
      <c r="E3" s="43"/>
    </row>
    <row r="4" spans="1:5">
      <c r="A4" s="1271"/>
      <c r="B4" s="1271"/>
      <c r="C4" s="1271"/>
      <c r="D4" s="43"/>
      <c r="E4" s="43"/>
    </row>
    <row r="5" spans="1:5" ht="16.5" thickBot="1">
      <c r="A5" s="44" t="s">
        <v>8</v>
      </c>
      <c r="B5" s="1266" t="str">
        <f>+CONCATENATE(ZAKL_DATA!B5," ",ZAKL_DATA!B4," ",ZAKL_DATA!B7)</f>
        <v xml:space="preserve">  </v>
      </c>
      <c r="C5" s="1267"/>
      <c r="D5" s="43"/>
      <c r="E5" s="43"/>
    </row>
    <row r="6" spans="1:5" ht="15.95" customHeight="1" thickBot="1">
      <c r="A6" s="45" t="s">
        <v>9</v>
      </c>
      <c r="B6" s="46" t="s">
        <v>10</v>
      </c>
      <c r="C6" s="47" t="s">
        <v>11</v>
      </c>
      <c r="D6" s="43"/>
      <c r="E6" s="43"/>
    </row>
    <row r="7" spans="1:5" ht="15.95" customHeight="1">
      <c r="A7" s="48" t="s">
        <v>12</v>
      </c>
      <c r="B7" s="139">
        <v>0</v>
      </c>
      <c r="C7" s="140">
        <v>0</v>
      </c>
      <c r="D7" s="43"/>
      <c r="E7" s="43"/>
    </row>
    <row r="8" spans="1:5" ht="15.95" customHeight="1">
      <c r="A8" s="49" t="s">
        <v>91</v>
      </c>
      <c r="B8" s="141">
        <v>0</v>
      </c>
      <c r="C8" s="142">
        <v>0</v>
      </c>
      <c r="D8" s="43"/>
      <c r="E8" s="43"/>
    </row>
    <row r="9" spans="1:5" ht="15.95" customHeight="1">
      <c r="A9" s="49" t="s">
        <v>283</v>
      </c>
      <c r="B9" s="141">
        <v>0</v>
      </c>
      <c r="C9" s="142">
        <v>0</v>
      </c>
      <c r="D9" s="43"/>
      <c r="E9" s="43"/>
    </row>
    <row r="10" spans="1:5" ht="15.95" customHeight="1">
      <c r="A10" s="49" t="s">
        <v>286</v>
      </c>
      <c r="B10" s="141">
        <v>0</v>
      </c>
      <c r="C10" s="142">
        <v>0</v>
      </c>
      <c r="D10" s="43"/>
      <c r="E10" s="43"/>
    </row>
    <row r="11" spans="1:5" ht="15.95" customHeight="1">
      <c r="A11" s="49" t="s">
        <v>92</v>
      </c>
      <c r="B11" s="141">
        <v>0</v>
      </c>
      <c r="C11" s="142">
        <v>0</v>
      </c>
      <c r="D11" s="43"/>
      <c r="E11" s="43"/>
    </row>
    <row r="12" spans="1:5" ht="15.95" customHeight="1">
      <c r="A12" s="49" t="s">
        <v>131</v>
      </c>
      <c r="B12" s="141">
        <v>0</v>
      </c>
      <c r="C12" s="142">
        <v>0</v>
      </c>
      <c r="D12" s="43"/>
      <c r="E12" s="43"/>
    </row>
    <row r="13" spans="1:5" ht="15.95" customHeight="1">
      <c r="A13" s="49" t="s">
        <v>2306</v>
      </c>
      <c r="B13" s="141">
        <v>0</v>
      </c>
      <c r="C13" s="142">
        <v>0</v>
      </c>
      <c r="D13" s="43"/>
      <c r="E13" s="43"/>
    </row>
    <row r="14" spans="1:5" ht="15.95" customHeight="1">
      <c r="A14" s="49" t="s">
        <v>2307</v>
      </c>
      <c r="B14" s="141">
        <v>0</v>
      </c>
      <c r="C14" s="142">
        <v>0</v>
      </c>
      <c r="D14" s="43"/>
      <c r="E14" s="43"/>
    </row>
    <row r="15" spans="1:5" ht="15.95" customHeight="1">
      <c r="A15" s="49" t="s">
        <v>13</v>
      </c>
      <c r="B15" s="141">
        <v>0</v>
      </c>
      <c r="C15" s="142">
        <v>0</v>
      </c>
      <c r="D15" s="43"/>
      <c r="E15" s="43"/>
    </row>
    <row r="16" spans="1:5" ht="15.95" customHeight="1">
      <c r="A16" s="50" t="s">
        <v>14</v>
      </c>
      <c r="B16" s="143">
        <f>SUM(B7:B15)</f>
        <v>0</v>
      </c>
      <c r="C16" s="144">
        <f>SUM(C7:C15)</f>
        <v>0</v>
      </c>
      <c r="D16" s="43"/>
      <c r="E16" s="43"/>
    </row>
    <row r="17" spans="1:5" ht="15.95" customHeight="1" thickBot="1">
      <c r="A17" s="51" t="s">
        <v>15</v>
      </c>
      <c r="B17" s="145">
        <f>SUM(B7:B16)</f>
        <v>0</v>
      </c>
      <c r="C17" s="146">
        <f>SUM(C7:C16)</f>
        <v>0</v>
      </c>
      <c r="D17" s="43"/>
      <c r="E17" s="43"/>
    </row>
    <row r="18" spans="1:5" ht="15.95" customHeight="1" thickBot="1">
      <c r="A18" s="52" t="s">
        <v>16</v>
      </c>
      <c r="B18" s="147"/>
      <c r="C18" s="148"/>
      <c r="D18" s="43"/>
      <c r="E18" s="43"/>
    </row>
    <row r="19" spans="1:5" ht="15.95" customHeight="1">
      <c r="A19" s="48" t="s">
        <v>2308</v>
      </c>
      <c r="B19" s="139">
        <v>0</v>
      </c>
      <c r="C19" s="140">
        <v>0</v>
      </c>
      <c r="D19" s="43"/>
      <c r="E19" s="43"/>
    </row>
    <row r="20" spans="1:5" ht="15.95" customHeight="1">
      <c r="A20" s="49" t="s">
        <v>2309</v>
      </c>
      <c r="B20" s="141">
        <v>0</v>
      </c>
      <c r="C20" s="142">
        <v>0</v>
      </c>
      <c r="D20" s="43"/>
      <c r="E20" s="43"/>
    </row>
    <row r="21" spans="1:5" ht="15.95" customHeight="1">
      <c r="A21" s="49" t="s">
        <v>17</v>
      </c>
      <c r="B21" s="141">
        <v>0</v>
      </c>
      <c r="C21" s="142">
        <v>0</v>
      </c>
      <c r="D21" s="43"/>
      <c r="E21" s="43"/>
    </row>
    <row r="22" spans="1:5" ht="15.95" customHeight="1">
      <c r="A22" s="49" t="s">
        <v>287</v>
      </c>
      <c r="B22" s="141">
        <v>0</v>
      </c>
      <c r="C22" s="142">
        <v>0</v>
      </c>
      <c r="D22" s="43"/>
      <c r="E22" s="43"/>
    </row>
    <row r="23" spans="1:5" ht="15.95" customHeight="1">
      <c r="A23" s="50" t="s">
        <v>18</v>
      </c>
      <c r="B23" s="143">
        <f>SUM(B19:B22)</f>
        <v>0</v>
      </c>
      <c r="C23" s="144">
        <f>SUM(C19:C22)</f>
        <v>0</v>
      </c>
      <c r="D23" s="43"/>
      <c r="E23" s="43"/>
    </row>
    <row r="24" spans="1:5" ht="15.95" customHeight="1">
      <c r="A24" s="50" t="s">
        <v>2310</v>
      </c>
      <c r="B24" s="143">
        <f>B16-B23</f>
        <v>0</v>
      </c>
      <c r="C24" s="144">
        <f>C16-C23</f>
        <v>0</v>
      </c>
      <c r="D24" s="43"/>
      <c r="E24" s="43"/>
    </row>
    <row r="25" spans="1:5" ht="15.95" customHeight="1" thickBot="1">
      <c r="A25" s="51" t="s">
        <v>15</v>
      </c>
      <c r="B25" s="145">
        <f>SUM(B19:B24)</f>
        <v>0</v>
      </c>
      <c r="C25" s="146">
        <f>SUM(C19:C24)</f>
        <v>0</v>
      </c>
      <c r="D25" s="43"/>
      <c r="E25" s="43"/>
    </row>
    <row r="26" spans="1:5" ht="15.95" customHeight="1">
      <c r="A26" s="1272"/>
      <c r="B26" s="921"/>
      <c r="C26" s="921"/>
      <c r="D26" s="43"/>
      <c r="E26" s="43"/>
    </row>
    <row r="27" spans="1:5" ht="15.95" customHeight="1" thickBot="1">
      <c r="A27" s="1268" t="s">
        <v>19</v>
      </c>
      <c r="B27" s="885"/>
      <c r="C27" s="885"/>
      <c r="D27" s="43"/>
      <c r="E27" s="43"/>
    </row>
    <row r="28" spans="1:5" ht="15.95" customHeight="1" thickBot="1">
      <c r="A28" s="45" t="s">
        <v>134</v>
      </c>
      <c r="B28" s="53"/>
      <c r="C28" s="54" t="s">
        <v>11</v>
      </c>
    </row>
    <row r="29" spans="1:5" ht="15.95" customHeight="1">
      <c r="A29" s="48" t="s">
        <v>20</v>
      </c>
      <c r="B29" s="55"/>
      <c r="C29" s="149">
        <v>0</v>
      </c>
    </row>
    <row r="30" spans="1:5" ht="15.95" customHeight="1">
      <c r="A30" s="49" t="s">
        <v>21</v>
      </c>
      <c r="B30" s="56"/>
      <c r="C30" s="150">
        <v>0</v>
      </c>
    </row>
    <row r="31" spans="1:5" ht="15.95" customHeight="1">
      <c r="A31" s="49" t="s">
        <v>22</v>
      </c>
      <c r="B31" s="56"/>
      <c r="C31" s="150">
        <v>0</v>
      </c>
    </row>
    <row r="32" spans="1:5" ht="15.95" customHeight="1">
      <c r="A32" s="59" t="s">
        <v>2311</v>
      </c>
      <c r="B32" s="56"/>
      <c r="C32" s="150">
        <v>0</v>
      </c>
    </row>
    <row r="33" spans="1:3" ht="15.95" customHeight="1">
      <c r="A33" s="49" t="s">
        <v>23</v>
      </c>
      <c r="B33" s="56"/>
      <c r="C33" s="150">
        <v>0</v>
      </c>
    </row>
    <row r="34" spans="1:3" ht="15.95" customHeight="1">
      <c r="A34" s="61" t="s">
        <v>24</v>
      </c>
      <c r="B34" s="60"/>
      <c r="C34" s="151">
        <f>+C29+C30+C31+C33</f>
        <v>0</v>
      </c>
    </row>
    <row r="35" spans="1:3" ht="15.95" customHeight="1" thickBot="1">
      <c r="A35" s="51" t="s">
        <v>15</v>
      </c>
      <c r="B35" s="57"/>
      <c r="C35" s="152">
        <f>SUM(C29:C33)</f>
        <v>0</v>
      </c>
    </row>
    <row r="36" spans="1:3" ht="15.95" customHeight="1" thickBot="1">
      <c r="A36" s="52" t="s">
        <v>135</v>
      </c>
      <c r="B36" s="58"/>
      <c r="C36" s="153"/>
    </row>
    <row r="37" spans="1:3" ht="15.95" customHeight="1">
      <c r="A37" s="48" t="s">
        <v>25</v>
      </c>
      <c r="B37" s="55"/>
      <c r="C37" s="149">
        <v>0</v>
      </c>
    </row>
    <row r="38" spans="1:3" ht="15.95" customHeight="1">
      <c r="A38" s="49" t="s">
        <v>26</v>
      </c>
      <c r="B38" s="56"/>
      <c r="C38" s="150">
        <v>0</v>
      </c>
    </row>
    <row r="39" spans="1:3" ht="15.95" customHeight="1">
      <c r="A39" s="49" t="s">
        <v>27</v>
      </c>
      <c r="B39" s="56"/>
      <c r="C39" s="150">
        <v>0</v>
      </c>
    </row>
    <row r="40" spans="1:3" ht="15.95" customHeight="1">
      <c r="A40" s="49" t="s">
        <v>306</v>
      </c>
      <c r="B40" s="56"/>
      <c r="C40" s="150">
        <v>0</v>
      </c>
    </row>
    <row r="41" spans="1:3" ht="15.95" customHeight="1">
      <c r="A41" s="49" t="s">
        <v>28</v>
      </c>
      <c r="B41" s="56"/>
      <c r="C41" s="150">
        <v>0</v>
      </c>
    </row>
    <row r="42" spans="1:3" ht="15.95" customHeight="1">
      <c r="A42" s="49" t="s">
        <v>29</v>
      </c>
      <c r="B42" s="56"/>
      <c r="C42" s="150">
        <v>0</v>
      </c>
    </row>
    <row r="43" spans="1:3" ht="15.95" customHeight="1">
      <c r="A43" s="59" t="s">
        <v>2312</v>
      </c>
      <c r="B43" s="56"/>
      <c r="C43" s="150">
        <v>0</v>
      </c>
    </row>
    <row r="44" spans="1:3" ht="15.95" customHeight="1">
      <c r="A44" s="59" t="s">
        <v>2313</v>
      </c>
      <c r="B44" s="56"/>
      <c r="C44" s="150">
        <v>0</v>
      </c>
    </row>
    <row r="45" spans="1:3" ht="15.95" customHeight="1">
      <c r="A45" s="59" t="s">
        <v>2314</v>
      </c>
      <c r="B45" s="56"/>
      <c r="C45" s="150">
        <v>0</v>
      </c>
    </row>
    <row r="46" spans="1:3" ht="15.95" customHeight="1">
      <c r="A46" s="61" t="s">
        <v>30</v>
      </c>
      <c r="B46" s="60"/>
      <c r="C46" s="151">
        <f>+SUM(C37:C42)</f>
        <v>0</v>
      </c>
    </row>
    <row r="47" spans="1:3" ht="15.95" customHeight="1">
      <c r="A47" s="61" t="s">
        <v>102</v>
      </c>
      <c r="B47" s="60"/>
      <c r="C47" s="151">
        <f>+C34-C46</f>
        <v>0</v>
      </c>
    </row>
    <row r="48" spans="1:3" ht="15.95" customHeight="1" thickBot="1">
      <c r="A48" s="51" t="s">
        <v>15</v>
      </c>
      <c r="B48" s="57"/>
      <c r="C48" s="152">
        <f>SUM(C37:C45)</f>
        <v>0</v>
      </c>
    </row>
    <row r="49" spans="1:3">
      <c r="A49" s="1265" t="str">
        <f>+'DAP1'!A46:L46</f>
        <v>Formulář zpracovala ASPEKT HM, daňová, účetní a auditorská kancelář, www.danovapriznani.cz, business.center.cz</v>
      </c>
      <c r="B49" s="976"/>
      <c r="C49" s="976"/>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honeticPr fontId="11" type="noConversion"/>
  <printOptions horizontalCentered="1" vertic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91"/>
  <sheetViews>
    <sheetView workbookViewId="0">
      <selection activeCell="F23" sqref="F23:H23"/>
    </sheetView>
  </sheetViews>
  <sheetFormatPr defaultColWidth="9.140625" defaultRowHeight="12.75"/>
  <cols>
    <col min="1" max="1" width="3.5703125" customWidth="1"/>
    <col min="2" max="2" width="15.7109375" customWidth="1"/>
    <col min="3" max="4" width="8.7109375" customWidth="1"/>
    <col min="5" max="5" width="10.7109375" customWidth="1"/>
    <col min="6" max="6" width="7.7109375" customWidth="1"/>
    <col min="7" max="7" width="8.7109375" customWidth="1"/>
    <col min="8" max="8" width="9.5703125" customWidth="1"/>
    <col min="9" max="11" width="8.7109375" customWidth="1"/>
    <col min="12" max="22" width="9.140625" style="2"/>
    <col min="23" max="23" width="11.42578125" style="2" bestFit="1" customWidth="1"/>
    <col min="24" max="50" width="9.140625" style="2"/>
  </cols>
  <sheetData>
    <row r="1" spans="1:50" ht="18" customHeight="1" thickBot="1">
      <c r="A1" s="1289" t="s">
        <v>274</v>
      </c>
      <c r="B1" s="1290"/>
      <c r="C1" s="1290"/>
      <c r="D1" s="1290"/>
      <c r="E1" s="1290"/>
      <c r="F1" s="1290"/>
      <c r="G1" s="1291"/>
      <c r="H1" s="247" t="s">
        <v>34</v>
      </c>
      <c r="I1" s="1273" t="str">
        <f>'DAP1'!A9</f>
        <v/>
      </c>
      <c r="J1" s="1274"/>
      <c r="K1" s="1014"/>
    </row>
    <row r="2" spans="1:50" ht="26.25" customHeight="1">
      <c r="A2" s="1288" t="s">
        <v>2713</v>
      </c>
      <c r="B2" s="1288"/>
      <c r="C2" s="1288"/>
      <c r="D2" s="1288"/>
      <c r="E2" s="1288"/>
      <c r="F2" s="1288"/>
      <c r="G2" s="814"/>
      <c r="H2" s="1296"/>
      <c r="I2" s="1296"/>
      <c r="J2" s="1296"/>
      <c r="K2" s="1296"/>
    </row>
    <row r="3" spans="1:50" ht="36" customHeight="1">
      <c r="A3" s="1277" t="s">
        <v>157</v>
      </c>
      <c r="B3" s="1278"/>
      <c r="C3" s="1278"/>
      <c r="D3" s="1278"/>
      <c r="E3" s="1278"/>
      <c r="F3" s="1278"/>
      <c r="G3" s="1278"/>
      <c r="H3" s="1278"/>
      <c r="I3" s="1278"/>
      <c r="J3" s="1278"/>
      <c r="K3" s="1278"/>
    </row>
    <row r="4" spans="1:50" ht="15.95" customHeight="1">
      <c r="A4" s="1292" t="s">
        <v>2273</v>
      </c>
      <c r="B4" s="814"/>
      <c r="C4" s="814"/>
      <c r="D4" s="814"/>
      <c r="E4" s="814"/>
      <c r="F4" s="814"/>
      <c r="G4" s="814"/>
      <c r="H4" s="814"/>
      <c r="I4" s="814"/>
      <c r="J4" s="814"/>
      <c r="K4" s="814"/>
    </row>
    <row r="5" spans="1:50" ht="15.95" customHeight="1">
      <c r="A5" s="1185" t="s">
        <v>2274</v>
      </c>
      <c r="B5" s="1293"/>
      <c r="C5" s="1293"/>
      <c r="D5" s="1293"/>
      <c r="E5" s="1293"/>
      <c r="F5" s="1293"/>
      <c r="G5" s="1293"/>
      <c r="H5" s="1293"/>
      <c r="I5" s="1293"/>
      <c r="J5" s="1293"/>
      <c r="K5" s="1293"/>
    </row>
    <row r="6" spans="1:50" ht="9.9499999999999993" customHeight="1">
      <c r="A6" s="1294" t="s">
        <v>239</v>
      </c>
      <c r="B6" s="1295"/>
      <c r="C6" s="1295"/>
      <c r="D6" s="1295"/>
      <c r="E6" s="1295"/>
      <c r="F6" s="1295"/>
      <c r="G6" s="1295"/>
      <c r="H6" s="1295"/>
      <c r="I6" s="1295"/>
      <c r="J6" s="1295"/>
      <c r="K6" s="1295"/>
    </row>
    <row r="7" spans="1:50" ht="8.1" customHeight="1" thickBot="1">
      <c r="A7" s="1294"/>
      <c r="B7" s="1295"/>
      <c r="C7" s="1295"/>
      <c r="D7" s="1295"/>
      <c r="E7" s="1295"/>
      <c r="F7" s="1295"/>
      <c r="G7" s="1295"/>
      <c r="H7" s="1295"/>
      <c r="I7" s="1295"/>
      <c r="J7" s="1295"/>
      <c r="K7" s="1295"/>
    </row>
    <row r="8" spans="1:50" s="102" customFormat="1" ht="24" customHeight="1" thickBot="1">
      <c r="A8" s="1275" t="s">
        <v>191</v>
      </c>
      <c r="B8" s="1276"/>
      <c r="C8" s="87"/>
      <c r="D8" s="100"/>
      <c r="E8" s="1275" t="s">
        <v>219</v>
      </c>
      <c r="F8" s="1281"/>
      <c r="G8" s="87" t="s">
        <v>234</v>
      </c>
      <c r="H8" s="100"/>
      <c r="I8" s="1275" t="s">
        <v>279</v>
      </c>
      <c r="J8" s="1011"/>
      <c r="K8" s="87"/>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row>
    <row r="9" spans="1:50" s="102" customFormat="1" ht="8.1" customHeight="1" thickBot="1">
      <c r="A9" s="841"/>
      <c r="B9" s="841"/>
      <c r="C9" s="841"/>
      <c r="D9" s="841"/>
      <c r="E9" s="841"/>
      <c r="F9" s="841"/>
      <c r="G9" s="841"/>
      <c r="H9" s="841"/>
      <c r="I9" s="841"/>
      <c r="J9" s="841"/>
      <c r="K9" s="84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row>
    <row r="10" spans="1:50" ht="12" customHeight="1">
      <c r="A10" s="1282"/>
      <c r="B10" s="1283"/>
      <c r="C10" s="1283"/>
      <c r="D10" s="1283"/>
      <c r="E10" s="1284"/>
      <c r="F10" s="1285" t="s">
        <v>137</v>
      </c>
      <c r="G10" s="1286"/>
      <c r="H10" s="1287"/>
      <c r="I10" s="1300" t="s">
        <v>145</v>
      </c>
      <c r="J10" s="1301"/>
      <c r="K10" s="1067"/>
    </row>
    <row r="11" spans="1:50" ht="18" customHeight="1">
      <c r="A11" s="18">
        <v>101</v>
      </c>
      <c r="B11" s="1038" t="s">
        <v>240</v>
      </c>
      <c r="C11" s="1038"/>
      <c r="D11" s="1038"/>
      <c r="E11" s="1160"/>
      <c r="F11" s="1094">
        <f>+IF(OR(EXACT(C8,"X"),EXACT(C8,"x")),CEILING(ZAV!C34,1)-ZAV!C32,+IF(OR(EXACT(K8,"X"),EXACT(K8,"x")),+F35,0))</f>
        <v>0</v>
      </c>
      <c r="G11" s="1279"/>
      <c r="H11" s="1280"/>
      <c r="I11" s="1297"/>
      <c r="J11" s="1298"/>
      <c r="K11" s="1299"/>
    </row>
    <row r="12" spans="1:50" ht="18" customHeight="1">
      <c r="A12" s="18">
        <v>102</v>
      </c>
      <c r="B12" s="1038" t="s">
        <v>241</v>
      </c>
      <c r="C12" s="1038"/>
      <c r="D12" s="1038"/>
      <c r="E12" s="1160"/>
      <c r="F12" s="1094">
        <f>+IF(OR(EXACT(C8,"X"),EXACT(C8,"x")),CEILING(ZAV!C46,1),+IF(OR(EXACT(K8,"X"),EXACT(K8,"x")),+H35,0))</f>
        <v>0</v>
      </c>
      <c r="G12" s="1279"/>
      <c r="H12" s="1280"/>
      <c r="I12" s="1297"/>
      <c r="J12" s="1298"/>
      <c r="K12" s="1299"/>
    </row>
    <row r="13" spans="1:50" ht="18" customHeight="1">
      <c r="A13" s="18">
        <v>103</v>
      </c>
      <c r="B13" s="1038" t="s">
        <v>159</v>
      </c>
      <c r="C13" s="1038"/>
      <c r="D13" s="1038"/>
      <c r="E13" s="1160"/>
      <c r="F13" s="1305"/>
      <c r="G13" s="1306"/>
      <c r="H13" s="1307"/>
      <c r="I13" s="1297"/>
      <c r="J13" s="1298"/>
      <c r="K13" s="1299"/>
    </row>
    <row r="14" spans="1:50" ht="24" customHeight="1">
      <c r="A14" s="427">
        <v>104</v>
      </c>
      <c r="B14" s="1026" t="s">
        <v>2275</v>
      </c>
      <c r="C14" s="1064"/>
      <c r="D14" s="1064"/>
      <c r="E14" s="1065"/>
      <c r="F14" s="1094">
        <f>+F11-F12</f>
        <v>0</v>
      </c>
      <c r="G14" s="1279"/>
      <c r="H14" s="1280"/>
      <c r="I14" s="1297"/>
      <c r="J14" s="1298"/>
      <c r="K14" s="1299"/>
    </row>
    <row r="15" spans="1:50" ht="45" customHeight="1">
      <c r="A15" s="15">
        <v>105</v>
      </c>
      <c r="B15" s="1026" t="s">
        <v>36</v>
      </c>
      <c r="C15" s="1026"/>
      <c r="D15" s="1026"/>
      <c r="E15" s="1093"/>
      <c r="F15" s="1302">
        <f>+SUM('1Př2'!F20:G23)</f>
        <v>0</v>
      </c>
      <c r="G15" s="1303"/>
      <c r="H15" s="1304"/>
      <c r="I15" s="1297"/>
      <c r="J15" s="1298"/>
      <c r="K15" s="1299"/>
    </row>
    <row r="16" spans="1:50" ht="45" customHeight="1">
      <c r="A16" s="428">
        <v>106</v>
      </c>
      <c r="B16" s="1026" t="s">
        <v>35</v>
      </c>
      <c r="C16" s="1026"/>
      <c r="D16" s="1026"/>
      <c r="E16" s="1093"/>
      <c r="F16" s="1302">
        <f>+SUM('1Př2'!F26:G29)</f>
        <v>0</v>
      </c>
      <c r="G16" s="1303"/>
      <c r="H16" s="1304"/>
      <c r="I16" s="1297"/>
      <c r="J16" s="1298"/>
      <c r="K16" s="1299"/>
    </row>
    <row r="17" spans="1:50" ht="48" customHeight="1">
      <c r="A17" s="15">
        <v>107</v>
      </c>
      <c r="B17" s="1026" t="s">
        <v>2279</v>
      </c>
      <c r="C17" s="1064"/>
      <c r="D17" s="1064"/>
      <c r="E17" s="1065"/>
      <c r="F17" s="1094">
        <f>FLOOR(+F11*('1Př2'!G39+'1Př2'!G40),1)</f>
        <v>0</v>
      </c>
      <c r="G17" s="1279"/>
      <c r="H17" s="1280"/>
      <c r="I17" s="1297"/>
      <c r="J17" s="1298"/>
      <c r="K17" s="1299"/>
    </row>
    <row r="18" spans="1:50" s="1" customFormat="1" ht="48" customHeight="1">
      <c r="A18" s="15">
        <v>108</v>
      </c>
      <c r="B18" s="1167" t="s">
        <v>2278</v>
      </c>
      <c r="C18" s="1317"/>
      <c r="D18" s="1317"/>
      <c r="E18" s="1318"/>
      <c r="F18" s="1094">
        <f>FLOOR(+F12*('1Př2'!G39+'1Př2'!G40),1)</f>
        <v>0</v>
      </c>
      <c r="G18" s="1279"/>
      <c r="H18" s="1280"/>
      <c r="I18" s="1297"/>
      <c r="J18" s="1298"/>
      <c r="K18" s="1299"/>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5">
        <v>109</v>
      </c>
      <c r="B19" s="1167" t="s">
        <v>2276</v>
      </c>
      <c r="C19" s="1317"/>
      <c r="D19" s="1317"/>
      <c r="E19" s="1318"/>
      <c r="F19" s="1094">
        <v>0</v>
      </c>
      <c r="G19" s="1279"/>
      <c r="H19" s="1280"/>
      <c r="I19" s="1297"/>
      <c r="J19" s="1298"/>
      <c r="K19" s="1299"/>
      <c r="L19" s="6"/>
      <c r="M19" s="136"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5">
        <v>110</v>
      </c>
      <c r="B20" s="1167" t="s">
        <v>2277</v>
      </c>
      <c r="C20" s="1317"/>
      <c r="D20" s="1317"/>
      <c r="E20" s="1318"/>
      <c r="F20" s="1094">
        <v>0</v>
      </c>
      <c r="G20" s="1279"/>
      <c r="H20" s="1280"/>
      <c r="I20" s="1297"/>
      <c r="J20" s="1298"/>
      <c r="K20" s="1299"/>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5">
        <v>111</v>
      </c>
      <c r="B21" s="1038" t="s">
        <v>159</v>
      </c>
      <c r="C21" s="1038"/>
      <c r="D21" s="1038"/>
      <c r="E21" s="1160"/>
      <c r="F21" s="1305"/>
      <c r="G21" s="1306"/>
      <c r="H21" s="1307"/>
      <c r="I21" s="1297"/>
      <c r="J21" s="1298"/>
      <c r="K21" s="1299"/>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5">
        <v>112</v>
      </c>
      <c r="B22" s="1167" t="s">
        <v>158</v>
      </c>
      <c r="C22" s="1317"/>
      <c r="D22" s="1317"/>
      <c r="E22" s="1318"/>
      <c r="F22" s="1087">
        <v>0</v>
      </c>
      <c r="G22" s="1279"/>
      <c r="H22" s="1280"/>
      <c r="I22" s="1326"/>
      <c r="J22" s="1298"/>
      <c r="K22" s="1299"/>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6">
        <v>113</v>
      </c>
      <c r="B23" s="1162" t="s">
        <v>2555</v>
      </c>
      <c r="C23" s="1332"/>
      <c r="D23" s="1332"/>
      <c r="E23" s="1333"/>
      <c r="F23" s="1030">
        <f>+F14+F15-F16-F17+F18+F19-F20-F21+F22</f>
        <v>0</v>
      </c>
      <c r="G23" s="1319"/>
      <c r="H23" s="1320"/>
      <c r="I23" s="1327"/>
      <c r="J23" s="1328"/>
      <c r="K23" s="1329"/>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311" t="s">
        <v>242</v>
      </c>
      <c r="B24" s="1312"/>
      <c r="C24" s="1312"/>
      <c r="D24" s="1312"/>
      <c r="E24" s="1312"/>
      <c r="F24" s="1312"/>
      <c r="G24" s="1312"/>
      <c r="H24" s="1312"/>
      <c r="I24" s="1312"/>
      <c r="J24" s="1312"/>
      <c r="K24" s="1312"/>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1313" t="s">
        <v>280</v>
      </c>
      <c r="B25" s="1314"/>
      <c r="C25" s="1314"/>
      <c r="D25" s="1314"/>
      <c r="E25" s="1314"/>
      <c r="F25" s="1314"/>
      <c r="G25" s="1314"/>
      <c r="H25" s="1314"/>
      <c r="I25" s="1314"/>
      <c r="J25" s="1314"/>
      <c r="K25" s="1314"/>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1315" t="s">
        <v>221</v>
      </c>
      <c r="B26" s="1240"/>
      <c r="C26" s="1240"/>
      <c r="D26" s="1240"/>
      <c r="E26" s="1315" t="s">
        <v>141</v>
      </c>
      <c r="F26" s="1316"/>
      <c r="G26" s="1240"/>
      <c r="H26" s="1240"/>
      <c r="I26" s="1330" t="s">
        <v>71</v>
      </c>
      <c r="J26" s="1330"/>
      <c r="K26" s="1331"/>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1308">
        <v>0</v>
      </c>
      <c r="B27" s="1309"/>
      <c r="C27" s="1310"/>
      <c r="D27" s="135"/>
      <c r="E27" s="1308">
        <f>+CEILING(ZAV!C43,1)</f>
        <v>0</v>
      </c>
      <c r="F27" s="1334"/>
      <c r="G27" s="1310"/>
      <c r="H27" s="135"/>
      <c r="I27" s="1308">
        <v>0</v>
      </c>
      <c r="J27" s="1321"/>
      <c r="K27" s="1322"/>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1313" t="s">
        <v>255</v>
      </c>
      <c r="B28" s="1346"/>
      <c r="C28" s="1346"/>
      <c r="D28" s="1346"/>
      <c r="E28" s="1347" t="s">
        <v>256</v>
      </c>
      <c r="F28" s="1313"/>
      <c r="G28" s="953"/>
      <c r="H28" s="953"/>
      <c r="I28" s="953"/>
      <c r="J28" s="953"/>
      <c r="K28" s="953"/>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1330" t="s">
        <v>2280</v>
      </c>
      <c r="B29" s="1331"/>
      <c r="C29" s="1331"/>
      <c r="D29" s="1331"/>
      <c r="E29" s="1348"/>
      <c r="F29" s="1352" t="s">
        <v>134</v>
      </c>
      <c r="G29" s="1352"/>
      <c r="H29" s="1352" t="s">
        <v>135</v>
      </c>
      <c r="I29" s="1352"/>
      <c r="J29" s="1352" t="s">
        <v>161</v>
      </c>
      <c r="K29" s="1352"/>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349" t="str">
        <f>CONCATENATE(ZAKL_DATA!B29)</f>
        <v/>
      </c>
      <c r="B30" s="1350"/>
      <c r="C30" s="1350"/>
      <c r="D30" s="1351"/>
      <c r="E30" s="331">
        <v>0</v>
      </c>
      <c r="F30" s="1338">
        <f>+IF(OR(EXACT(K8,"X"),EXACT(K8,"x")),F11,IF(OR(EXACT(C8,"X"),EXACT(C8,"x")),CEILING(ZAV!C34,1)-ZAV!C32,0))</f>
        <v>0</v>
      </c>
      <c r="G30" s="1339"/>
      <c r="H30" s="1338">
        <f>+IF(OR(EXACT(C8,"X"),EXACT(C8,"x")),CEILING(ZAV!C46,1),IF(OR(EXACT(K8,"X"),EXACT(K8,"x")),MIN(2000000*E30,CEILING(+E30*F30,1)),0))</f>
        <v>0</v>
      </c>
      <c r="I30" s="1339"/>
      <c r="J30" s="1342"/>
      <c r="K30" s="1343"/>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952" t="s">
        <v>257</v>
      </c>
      <c r="B31" s="1335"/>
      <c r="C31" s="1335"/>
      <c r="D31" s="1335"/>
      <c r="E31" s="1335"/>
      <c r="F31" s="1335"/>
      <c r="G31" s="1335"/>
      <c r="H31" s="1335"/>
      <c r="I31" s="1335"/>
      <c r="J31" s="1335"/>
      <c r="K31" s="1335"/>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344"/>
      <c r="B32" s="1345"/>
      <c r="C32" s="1345"/>
      <c r="D32" s="1345"/>
      <c r="E32" s="330">
        <v>0</v>
      </c>
      <c r="F32" s="1340">
        <v>0</v>
      </c>
      <c r="G32" s="1341"/>
      <c r="H32" s="1340">
        <f>+IF(OR(EXACT(K8,"X"),EXACT(K8,"x")),MIN(2000000*E32,CEILING(+E32*F32,1)),0)</f>
        <v>0</v>
      </c>
      <c r="I32" s="1341"/>
      <c r="J32" s="1336"/>
      <c r="K32" s="1337"/>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353"/>
      <c r="B33" s="1354"/>
      <c r="C33" s="1354"/>
      <c r="D33" s="1354"/>
      <c r="E33" s="328">
        <v>0</v>
      </c>
      <c r="F33" s="1355">
        <v>0</v>
      </c>
      <c r="G33" s="1356"/>
      <c r="H33" s="1355">
        <f>+IF(OR(EXACT(K8,"X"),EXACT(K8,"x")),MIN(2000000*E33,CEILING(+E33*F33,1)),0)</f>
        <v>0</v>
      </c>
      <c r="I33" s="1356"/>
      <c r="J33" s="1357"/>
      <c r="K33" s="1358"/>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353"/>
      <c r="B34" s="1354"/>
      <c r="C34" s="1354"/>
      <c r="D34" s="1354"/>
      <c r="E34" s="328">
        <v>0</v>
      </c>
      <c r="F34" s="1355">
        <v>0</v>
      </c>
      <c r="G34" s="1356"/>
      <c r="H34" s="1355">
        <f>+IF(OR(EXACT(K8,"X"),EXACT(K8,"x")),MIN(2000000*E34,CEILING(+E34*F34,1)),0)</f>
        <v>0</v>
      </c>
      <c r="I34" s="1356"/>
      <c r="J34" s="1357"/>
      <c r="K34" s="1358"/>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359" t="s">
        <v>55</v>
      </c>
      <c r="B35" s="1360"/>
      <c r="C35" s="1360"/>
      <c r="D35" s="1360"/>
      <c r="E35" s="329"/>
      <c r="F35" s="1363">
        <f>SUM(F32:F34)+F30</f>
        <v>0</v>
      </c>
      <c r="G35" s="1364"/>
      <c r="H35" s="1363">
        <f>SUM(H32:H34)+H30</f>
        <v>0</v>
      </c>
      <c r="I35" s="1364"/>
      <c r="J35" s="1361"/>
      <c r="K35" s="1362"/>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324" t="str">
        <f>+'DAP1'!A46</f>
        <v>Formulář zpracovala ASPEKT HM, daňová, účetní a auditorská kancelář, www.danovapriznani.cz, business.center.cz</v>
      </c>
      <c r="B36" s="1324"/>
      <c r="C36" s="1324"/>
      <c r="D36" s="1324"/>
      <c r="E36" s="1324"/>
      <c r="F36" s="1324"/>
      <c r="G36" s="1324"/>
      <c r="H36" s="1324"/>
      <c r="I36" s="1324"/>
      <c r="J36" s="1324"/>
      <c r="K36" s="1324"/>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325" t="s">
        <v>2714</v>
      </c>
      <c r="B37" s="1325"/>
      <c r="C37" s="1325"/>
      <c r="D37" s="1325"/>
      <c r="E37" s="1325"/>
      <c r="F37" s="1325"/>
      <c r="G37" s="1325"/>
      <c r="H37" s="1325"/>
      <c r="I37" s="1325"/>
      <c r="J37" s="1325"/>
      <c r="K37" s="1325"/>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ht="13.5" customHeight="1">
      <c r="A38" s="1323" t="s">
        <v>275</v>
      </c>
      <c r="B38" s="1323"/>
      <c r="C38" s="1323"/>
      <c r="D38" s="1323"/>
      <c r="E38" s="1323"/>
      <c r="F38" s="1323"/>
      <c r="G38" s="1323"/>
      <c r="H38" s="1323"/>
      <c r="I38" s="1323"/>
      <c r="J38" s="1323"/>
      <c r="K38" s="1323"/>
    </row>
    <row r="39" spans="1:50" s="2" customFormat="1"/>
    <row r="40" spans="1:50" s="2" customFormat="1"/>
    <row r="41" spans="1:50" s="2" customFormat="1"/>
    <row r="42" spans="1:50" s="2" customFormat="1"/>
    <row r="43" spans="1:50" s="2" customFormat="1"/>
    <row r="44" spans="1:50" s="2" customFormat="1"/>
    <row r="45" spans="1:50" s="2" customFormat="1"/>
    <row r="46" spans="1:50" s="2" customFormat="1"/>
    <row r="47" spans="1:50" s="2" customFormat="1"/>
    <row r="48" spans="1:5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sheetData>
  <sheetProtection algorithmName="SHA-512" hashValue="s88La8Kaq9RUHiyhFZenJEErmy/2JLRyY0CDliUnc3gOyWl1uh7Eg6JovKv6FH2MVLCcsP5Uv9+FpfhkrNP7kQ==" saltValue="/QQPrFEjqfN5lyn7n2iA5A==" spinCount="100000" sheet="1" objects="1" scenarios="1"/>
  <mergeCells count="94">
    <mergeCell ref="A35:D35"/>
    <mergeCell ref="J34:K34"/>
    <mergeCell ref="J35:K35"/>
    <mergeCell ref="F35:G35"/>
    <mergeCell ref="H35:I35"/>
    <mergeCell ref="F34:G34"/>
    <mergeCell ref="H34:I34"/>
    <mergeCell ref="J29:K29"/>
    <mergeCell ref="A33:D33"/>
    <mergeCell ref="A34:D34"/>
    <mergeCell ref="F33:G33"/>
    <mergeCell ref="H33:I33"/>
    <mergeCell ref="J33:K33"/>
    <mergeCell ref="B16:E16"/>
    <mergeCell ref="A31:K31"/>
    <mergeCell ref="J32:K32"/>
    <mergeCell ref="H30:I30"/>
    <mergeCell ref="F30:G30"/>
    <mergeCell ref="F32:G32"/>
    <mergeCell ref="H32:I32"/>
    <mergeCell ref="J30:K30"/>
    <mergeCell ref="A32:D32"/>
    <mergeCell ref="A28:D28"/>
    <mergeCell ref="E28:E29"/>
    <mergeCell ref="F28:K28"/>
    <mergeCell ref="A29:D29"/>
    <mergeCell ref="A30:D30"/>
    <mergeCell ref="F29:G29"/>
    <mergeCell ref="H29:I29"/>
    <mergeCell ref="F17:H17"/>
    <mergeCell ref="A38:K38"/>
    <mergeCell ref="A36:K36"/>
    <mergeCell ref="A37:K37"/>
    <mergeCell ref="I21:K21"/>
    <mergeCell ref="I22:K22"/>
    <mergeCell ref="I23:K23"/>
    <mergeCell ref="I17:K17"/>
    <mergeCell ref="B19:E19"/>
    <mergeCell ref="B20:E20"/>
    <mergeCell ref="I26:K26"/>
    <mergeCell ref="B21:E21"/>
    <mergeCell ref="B22:E22"/>
    <mergeCell ref="B23:E23"/>
    <mergeCell ref="F20:H20"/>
    <mergeCell ref="E27:G27"/>
    <mergeCell ref="A27:C27"/>
    <mergeCell ref="A24:K24"/>
    <mergeCell ref="A25:K25"/>
    <mergeCell ref="F18:H18"/>
    <mergeCell ref="F19:H19"/>
    <mergeCell ref="A26:D26"/>
    <mergeCell ref="E26:H26"/>
    <mergeCell ref="B18:E18"/>
    <mergeCell ref="I20:K20"/>
    <mergeCell ref="F21:H21"/>
    <mergeCell ref="F23:H23"/>
    <mergeCell ref="I27:K27"/>
    <mergeCell ref="I18:K18"/>
    <mergeCell ref="I19:K19"/>
    <mergeCell ref="F22:H22"/>
    <mergeCell ref="B13:E13"/>
    <mergeCell ref="B14:E14"/>
    <mergeCell ref="B15:E15"/>
    <mergeCell ref="A9:K9"/>
    <mergeCell ref="F13:H13"/>
    <mergeCell ref="I15:K15"/>
    <mergeCell ref="F15:H15"/>
    <mergeCell ref="H2:K2"/>
    <mergeCell ref="I16:K16"/>
    <mergeCell ref="F11:H11"/>
    <mergeCell ref="I13:K13"/>
    <mergeCell ref="I10:K10"/>
    <mergeCell ref="I11:K11"/>
    <mergeCell ref="I12:K12"/>
    <mergeCell ref="F14:H14"/>
    <mergeCell ref="I8:J8"/>
    <mergeCell ref="I14:K14"/>
    <mergeCell ref="F16:H16"/>
    <mergeCell ref="B17:E17"/>
    <mergeCell ref="I1:K1"/>
    <mergeCell ref="A8:B8"/>
    <mergeCell ref="B11:E11"/>
    <mergeCell ref="B12:E12"/>
    <mergeCell ref="A3:K3"/>
    <mergeCell ref="F12:H12"/>
    <mergeCell ref="E8:F8"/>
    <mergeCell ref="A10:E10"/>
    <mergeCell ref="F10:H10"/>
    <mergeCell ref="A2:G2"/>
    <mergeCell ref="A1:G1"/>
    <mergeCell ref="A4:K4"/>
    <mergeCell ref="A5:K5"/>
    <mergeCell ref="A7:K7"/>
    <mergeCell ref="A6:K6"/>
  </mergeCells>
  <phoneticPr fontId="11" type="noConversion"/>
  <dataValidations disablePrompts="1" count="1">
    <dataValidation type="list" allowBlank="1" showInputMessage="1" sqref="A32:A34" xr:uid="{00000000-0002-0000-0B00-000000000000}">
      <formula1>vl_cinnosti2</formula1>
    </dataValidation>
  </dataValidations>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201"/>
  <sheetViews>
    <sheetView workbookViewId="0">
      <selection activeCell="B20" sqref="B20:E20"/>
    </sheetView>
  </sheetViews>
  <sheetFormatPr defaultRowHeight="12.75"/>
  <cols>
    <col min="1" max="1" width="3.28515625" customWidth="1"/>
    <col min="2" max="2" width="17.7109375" customWidth="1"/>
    <col min="3" max="3" width="8.85546875" customWidth="1"/>
    <col min="4" max="4" width="14.7109375" customWidth="1"/>
    <col min="5" max="7" width="17.7109375" customWidth="1"/>
    <col min="8" max="52" width="9.140625" style="72"/>
  </cols>
  <sheetData>
    <row r="1" spans="1:52" ht="18" customHeight="1">
      <c r="A1" s="1313" t="s">
        <v>2281</v>
      </c>
      <c r="B1" s="1403"/>
      <c r="C1" s="1403"/>
      <c r="D1" s="1403"/>
      <c r="E1" s="1403"/>
      <c r="F1" s="1403"/>
      <c r="G1" s="1403"/>
    </row>
    <row r="2" spans="1:52" ht="15.95" customHeight="1" thickBot="1">
      <c r="A2" s="1404" t="s">
        <v>37</v>
      </c>
      <c r="B2" s="885"/>
      <c r="C2" s="130" t="s">
        <v>271</v>
      </c>
      <c r="D2" s="130"/>
      <c r="E2" s="130" t="s">
        <v>272</v>
      </c>
      <c r="F2" s="129" t="s">
        <v>273</v>
      </c>
      <c r="G2" s="129" t="s">
        <v>57</v>
      </c>
      <c r="AY2"/>
      <c r="AZ2"/>
    </row>
    <row r="3" spans="1:52" ht="15.95" customHeight="1" thickBot="1">
      <c r="A3" s="1420"/>
      <c r="B3" s="1421"/>
      <c r="C3" s="1418"/>
      <c r="D3" s="1419"/>
      <c r="E3" s="128"/>
      <c r="F3" s="133"/>
      <c r="G3" s="134">
        <v>12</v>
      </c>
      <c r="AY3"/>
      <c r="AZ3"/>
    </row>
    <row r="4" spans="1:52" ht="18" customHeight="1">
      <c r="A4" s="1407" t="s">
        <v>2367</v>
      </c>
      <c r="B4" s="1408"/>
      <c r="C4" s="1408"/>
      <c r="D4" s="1408"/>
      <c r="E4" s="1408"/>
      <c r="F4" s="1408"/>
      <c r="G4" s="1408"/>
    </row>
    <row r="5" spans="1:52" ht="15.95" customHeight="1" thickBot="1">
      <c r="A5" s="1416" t="s">
        <v>2368</v>
      </c>
      <c r="B5" s="1417"/>
      <c r="C5" s="1417"/>
      <c r="D5" s="1417"/>
      <c r="E5" s="1417"/>
      <c r="F5" s="1417"/>
      <c r="G5" s="1417"/>
    </row>
    <row r="6" spans="1:52" ht="22.5">
      <c r="A6" s="1414"/>
      <c r="B6" s="982"/>
      <c r="C6" s="982"/>
      <c r="D6" s="982"/>
      <c r="E6" s="1415"/>
      <c r="F6" s="75" t="s">
        <v>282</v>
      </c>
      <c r="G6" s="76" t="s">
        <v>281</v>
      </c>
    </row>
    <row r="7" spans="1:52" ht="15.95" customHeight="1">
      <c r="A7" s="39" t="s">
        <v>124</v>
      </c>
      <c r="B7" s="1412" t="s">
        <v>97</v>
      </c>
      <c r="C7" s="1412"/>
      <c r="D7" s="1412"/>
      <c r="E7" s="1042"/>
      <c r="F7" s="62">
        <f>+ZAV!B7</f>
        <v>0</v>
      </c>
      <c r="G7" s="74">
        <f>+ZAV!C7</f>
        <v>0</v>
      </c>
    </row>
    <row r="8" spans="1:52" ht="15.95" customHeight="1">
      <c r="A8" s="39" t="s">
        <v>125</v>
      </c>
      <c r="B8" s="1412" t="s">
        <v>260</v>
      </c>
      <c r="C8" s="1412"/>
      <c r="D8" s="1412"/>
      <c r="E8" s="1042"/>
      <c r="F8" s="62">
        <f>+ZAV!B9</f>
        <v>0</v>
      </c>
      <c r="G8" s="74">
        <f>+ZAV!C9</f>
        <v>0</v>
      </c>
    </row>
    <row r="9" spans="1:52" ht="15.95" customHeight="1">
      <c r="A9" s="39" t="s">
        <v>126</v>
      </c>
      <c r="B9" s="1412" t="s">
        <v>226</v>
      </c>
      <c r="C9" s="1412"/>
      <c r="D9" s="1412"/>
      <c r="E9" s="1042"/>
      <c r="F9" s="62">
        <f>+ZAV!B10</f>
        <v>0</v>
      </c>
      <c r="G9" s="74">
        <f>+ZAV!C10</f>
        <v>0</v>
      </c>
    </row>
    <row r="10" spans="1:52" ht="15.95" customHeight="1">
      <c r="A10" s="39" t="s">
        <v>292</v>
      </c>
      <c r="B10" s="1412" t="s">
        <v>131</v>
      </c>
      <c r="C10" s="1412"/>
      <c r="D10" s="1412"/>
      <c r="E10" s="1042"/>
      <c r="F10" s="62">
        <f>+ZAV!B12</f>
        <v>0</v>
      </c>
      <c r="G10" s="74">
        <f>+ZAV!C12</f>
        <v>0</v>
      </c>
    </row>
    <row r="11" spans="1:52" ht="15.95" customHeight="1">
      <c r="A11" s="39" t="s">
        <v>93</v>
      </c>
      <c r="B11" s="1412" t="s">
        <v>2282</v>
      </c>
      <c r="C11" s="1412"/>
      <c r="D11" s="1412"/>
      <c r="E11" s="1042"/>
      <c r="F11" s="62">
        <f>+ZAV!B13+ZAV!B14</f>
        <v>0</v>
      </c>
      <c r="G11" s="74">
        <f>+ZAV!C13+ZAV!C14</f>
        <v>0</v>
      </c>
    </row>
    <row r="12" spans="1:52" ht="15.95" customHeight="1">
      <c r="A12" s="39" t="s">
        <v>291</v>
      </c>
      <c r="B12" s="1412" t="s">
        <v>227</v>
      </c>
      <c r="C12" s="1412"/>
      <c r="D12" s="1412"/>
      <c r="E12" s="1042"/>
      <c r="F12" s="62">
        <f>+ZAV!B15+ZAV!B11+ZAV!B8</f>
        <v>0</v>
      </c>
      <c r="G12" s="74">
        <f>+ZAV!C15+ZAV!C11+ZAV!C8</f>
        <v>0</v>
      </c>
    </row>
    <row r="13" spans="1:52" ht="15.95" customHeight="1">
      <c r="A13" s="39" t="s">
        <v>290</v>
      </c>
      <c r="B13" s="1412" t="s">
        <v>2283</v>
      </c>
      <c r="C13" s="1412"/>
      <c r="D13" s="1412"/>
      <c r="E13" s="1042"/>
      <c r="F13" s="62">
        <f>+ZAV!B19+ZAV!B20</f>
        <v>0</v>
      </c>
      <c r="G13" s="74">
        <f>+ZAV!C19+ZAV!C20</f>
        <v>0</v>
      </c>
    </row>
    <row r="14" spans="1:52" ht="15.95" customHeight="1" thickBot="1">
      <c r="A14" s="40" t="s">
        <v>289</v>
      </c>
      <c r="B14" s="1413" t="s">
        <v>287</v>
      </c>
      <c r="C14" s="1413"/>
      <c r="D14" s="1413"/>
      <c r="E14" s="985"/>
      <c r="F14" s="63">
        <f>+ZAV!B22</f>
        <v>0</v>
      </c>
      <c r="G14" s="88">
        <f>+ZAV!C22</f>
        <v>0</v>
      </c>
    </row>
    <row r="15" spans="1:52" ht="9" customHeight="1" thickBot="1">
      <c r="A15" s="1407"/>
      <c r="B15" s="1408"/>
      <c r="C15" s="1408"/>
      <c r="D15" s="1408"/>
      <c r="E15" s="1408"/>
      <c r="F15" s="1408"/>
      <c r="G15" s="1408"/>
    </row>
    <row r="16" spans="1:52" ht="15.95" customHeight="1" thickBot="1">
      <c r="A16" s="77" t="s">
        <v>288</v>
      </c>
      <c r="B16" s="103" t="s">
        <v>27</v>
      </c>
      <c r="C16" s="1409"/>
      <c r="D16" s="1410"/>
      <c r="E16" s="1411"/>
      <c r="F16" s="1408"/>
      <c r="G16" s="1408"/>
    </row>
    <row r="17" spans="1:7" ht="15" customHeight="1">
      <c r="A17" s="1405" t="s">
        <v>228</v>
      </c>
      <c r="B17" s="1406"/>
      <c r="C17" s="1406"/>
      <c r="D17" s="1406"/>
      <c r="E17" s="1406"/>
      <c r="F17" s="1406"/>
      <c r="G17" s="1406"/>
    </row>
    <row r="18" spans="1:7" ht="18" customHeight="1" thickBot="1">
      <c r="A18" s="1385" t="s">
        <v>201</v>
      </c>
      <c r="B18" s="1386"/>
      <c r="C18" s="1386"/>
      <c r="D18" s="1386"/>
      <c r="E18" s="1386"/>
      <c r="F18" s="1386"/>
      <c r="G18" s="1386"/>
    </row>
    <row r="19" spans="1:7" ht="24" customHeight="1">
      <c r="A19" s="80" t="s">
        <v>2284</v>
      </c>
      <c r="B19" s="1398" t="s">
        <v>58</v>
      </c>
      <c r="C19" s="1399"/>
      <c r="D19" s="1399"/>
      <c r="E19" s="1400"/>
      <c r="F19" s="1401" t="s">
        <v>182</v>
      </c>
      <c r="G19" s="1402"/>
    </row>
    <row r="20" spans="1:7" ht="15.95" customHeight="1">
      <c r="A20" s="37" t="s">
        <v>124</v>
      </c>
      <c r="B20" s="1379"/>
      <c r="C20" s="1379"/>
      <c r="D20" s="1379"/>
      <c r="E20" s="1379"/>
      <c r="F20" s="1380"/>
      <c r="G20" s="1381"/>
    </row>
    <row r="21" spans="1:7" ht="15.95" customHeight="1">
      <c r="A21" s="37" t="s">
        <v>125</v>
      </c>
      <c r="B21" s="1379"/>
      <c r="C21" s="1379"/>
      <c r="D21" s="1379"/>
      <c r="E21" s="1379"/>
      <c r="F21" s="1380"/>
      <c r="G21" s="1381"/>
    </row>
    <row r="22" spans="1:7" ht="15.95" customHeight="1">
      <c r="A22" s="37" t="s">
        <v>126</v>
      </c>
      <c r="B22" s="1379"/>
      <c r="C22" s="1379"/>
      <c r="D22" s="1379"/>
      <c r="E22" s="1379"/>
      <c r="F22" s="1380"/>
      <c r="G22" s="1381"/>
    </row>
    <row r="23" spans="1:7" ht="15.95" customHeight="1" thickBot="1">
      <c r="A23" s="38" t="s">
        <v>292</v>
      </c>
      <c r="B23" s="1382"/>
      <c r="C23" s="1382"/>
      <c r="D23" s="1382"/>
      <c r="E23" s="1382"/>
      <c r="F23" s="1383"/>
      <c r="G23" s="1384"/>
    </row>
    <row r="24" spans="1:7" ht="13.5" thickBot="1">
      <c r="A24" s="1385"/>
      <c r="B24" s="1386"/>
      <c r="C24" s="1386"/>
      <c r="D24" s="1386"/>
      <c r="E24" s="1386"/>
      <c r="F24" s="1386"/>
      <c r="G24" s="1386"/>
    </row>
    <row r="25" spans="1:7" ht="24.75" customHeight="1">
      <c r="A25" s="80" t="s">
        <v>183</v>
      </c>
      <c r="B25" s="1398" t="s">
        <v>59</v>
      </c>
      <c r="C25" s="1399"/>
      <c r="D25" s="1399"/>
      <c r="E25" s="1400"/>
      <c r="F25" s="1401" t="s">
        <v>182</v>
      </c>
      <c r="G25" s="1402"/>
    </row>
    <row r="26" spans="1:7" ht="15.95" customHeight="1">
      <c r="A26" s="37" t="s">
        <v>124</v>
      </c>
      <c r="B26" s="1379"/>
      <c r="C26" s="1379"/>
      <c r="D26" s="1379"/>
      <c r="E26" s="1379"/>
      <c r="F26" s="1380"/>
      <c r="G26" s="1381"/>
    </row>
    <row r="27" spans="1:7" ht="15.95" customHeight="1">
      <c r="A27" s="37" t="s">
        <v>125</v>
      </c>
      <c r="B27" s="1379"/>
      <c r="C27" s="1379"/>
      <c r="D27" s="1379"/>
      <c r="E27" s="1379"/>
      <c r="F27" s="1380"/>
      <c r="G27" s="1381"/>
    </row>
    <row r="28" spans="1:7" ht="15.95" customHeight="1">
      <c r="A28" s="37" t="s">
        <v>126</v>
      </c>
      <c r="B28" s="1379"/>
      <c r="C28" s="1379"/>
      <c r="D28" s="1379"/>
      <c r="E28" s="1379"/>
      <c r="F28" s="1380"/>
      <c r="G28" s="1381"/>
    </row>
    <row r="29" spans="1:7" ht="15.95" customHeight="1" thickBot="1">
      <c r="A29" s="38" t="s">
        <v>292</v>
      </c>
      <c r="B29" s="1382"/>
      <c r="C29" s="1382"/>
      <c r="D29" s="1382"/>
      <c r="E29" s="1382"/>
      <c r="F29" s="1383"/>
      <c r="G29" s="1384"/>
    </row>
    <row r="30" spans="1:7" ht="18" customHeight="1" thickBot="1">
      <c r="A30" s="1385" t="s">
        <v>72</v>
      </c>
      <c r="B30" s="1386"/>
      <c r="C30" s="1386"/>
      <c r="D30" s="1386"/>
      <c r="E30" s="1386"/>
      <c r="F30" s="1386"/>
      <c r="G30" s="1386"/>
    </row>
    <row r="31" spans="1:7" ht="15.95" customHeight="1">
      <c r="A31" s="1387" t="s">
        <v>73</v>
      </c>
      <c r="B31" s="1388"/>
      <c r="C31" s="1388"/>
      <c r="D31" s="1388"/>
      <c r="E31" s="1388"/>
      <c r="F31" s="1388"/>
      <c r="G31" s="1389"/>
    </row>
    <row r="32" spans="1:7" ht="15.95" customHeight="1">
      <c r="A32" s="84"/>
      <c r="B32" s="22" t="s">
        <v>38</v>
      </c>
      <c r="C32" s="1396" t="s">
        <v>88</v>
      </c>
      <c r="D32" s="1396"/>
      <c r="E32" s="22" t="s">
        <v>138</v>
      </c>
      <c r="F32" s="22" t="s">
        <v>89</v>
      </c>
      <c r="G32" s="23" t="s">
        <v>90</v>
      </c>
    </row>
    <row r="33" spans="1:52" ht="15.95" customHeight="1">
      <c r="A33" s="24" t="s">
        <v>124</v>
      </c>
      <c r="B33" s="90"/>
      <c r="C33" s="1369"/>
      <c r="D33" s="1369"/>
      <c r="E33" s="26"/>
      <c r="F33" s="29"/>
      <c r="G33" s="28"/>
    </row>
    <row r="34" spans="1:52" ht="15.95" customHeight="1">
      <c r="A34" s="24" t="s">
        <v>125</v>
      </c>
      <c r="B34" s="27"/>
      <c r="C34" s="1369"/>
      <c r="D34" s="1369"/>
      <c r="E34" s="91"/>
      <c r="F34" s="92"/>
      <c r="G34" s="93"/>
    </row>
    <row r="35" spans="1:52" ht="15.95" customHeight="1" thickBot="1">
      <c r="A35" s="25" t="s">
        <v>126</v>
      </c>
      <c r="B35" s="94"/>
      <c r="C35" s="1397"/>
      <c r="D35" s="1397"/>
      <c r="E35" s="94"/>
      <c r="F35" s="30"/>
      <c r="G35" s="31"/>
    </row>
    <row r="36" spans="1:52" ht="18" customHeight="1" thickBot="1">
      <c r="A36" s="1377" t="s">
        <v>261</v>
      </c>
      <c r="B36" s="1378"/>
      <c r="C36" s="1378"/>
      <c r="D36" s="1378"/>
      <c r="E36" s="1378"/>
      <c r="F36" s="1378"/>
      <c r="G36" s="1378"/>
    </row>
    <row r="37" spans="1:52" ht="15.95" customHeight="1">
      <c r="A37" s="1374" t="s">
        <v>74</v>
      </c>
      <c r="B37" s="1375"/>
      <c r="C37" s="1375"/>
      <c r="D37" s="1375"/>
      <c r="E37" s="1375"/>
      <c r="F37" s="1375"/>
      <c r="G37" s="1376"/>
    </row>
    <row r="38" spans="1:52" ht="24" customHeight="1">
      <c r="A38" s="85"/>
      <c r="B38" s="1370" t="s">
        <v>38</v>
      </c>
      <c r="C38" s="1371"/>
      <c r="D38" s="1370" t="s">
        <v>88</v>
      </c>
      <c r="E38" s="1371"/>
      <c r="F38" s="32" t="s">
        <v>224</v>
      </c>
      <c r="G38" s="33" t="s">
        <v>293</v>
      </c>
    </row>
    <row r="39" spans="1:52" ht="15.95" customHeight="1">
      <c r="A39" s="24" t="s">
        <v>124</v>
      </c>
      <c r="B39" s="1372"/>
      <c r="C39" s="1373"/>
      <c r="D39" s="1372"/>
      <c r="E39" s="1373"/>
      <c r="F39" s="8"/>
      <c r="G39" s="28"/>
    </row>
    <row r="40" spans="1:52" ht="15.95" customHeight="1" thickBot="1">
      <c r="A40" s="25" t="s">
        <v>125</v>
      </c>
      <c r="B40" s="1365"/>
      <c r="C40" s="1366"/>
      <c r="D40" s="1365"/>
      <c r="E40" s="1366"/>
      <c r="F40" s="9"/>
      <c r="G40" s="31"/>
    </row>
    <row r="41" spans="1:52" s="78" customFormat="1" ht="18" customHeight="1" thickBot="1">
      <c r="A41" s="1377" t="s">
        <v>202</v>
      </c>
      <c r="B41" s="1378"/>
      <c r="C41" s="1378"/>
      <c r="D41" s="1378"/>
      <c r="E41" s="1378"/>
      <c r="F41" s="1378"/>
      <c r="G41" s="1378"/>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row>
    <row r="42" spans="1:52" ht="15.95" customHeight="1">
      <c r="A42" s="1374" t="s">
        <v>75</v>
      </c>
      <c r="B42" s="1375"/>
      <c r="C42" s="1375"/>
      <c r="D42" s="1375"/>
      <c r="E42" s="1375"/>
      <c r="F42" s="1375"/>
      <c r="G42" s="1376"/>
    </row>
    <row r="43" spans="1:52" ht="24" customHeight="1">
      <c r="A43" s="85"/>
      <c r="B43" s="1370" t="s">
        <v>38</v>
      </c>
      <c r="C43" s="1371"/>
      <c r="D43" s="1370" t="s">
        <v>88</v>
      </c>
      <c r="E43" s="1371"/>
      <c r="F43" s="32" t="s">
        <v>138</v>
      </c>
      <c r="G43" s="33" t="s">
        <v>293</v>
      </c>
    </row>
    <row r="44" spans="1:52" ht="15.95" customHeight="1" thickBot="1">
      <c r="A44" s="25" t="s">
        <v>124</v>
      </c>
      <c r="B44" s="1365"/>
      <c r="C44" s="1366"/>
      <c r="D44" s="1365"/>
      <c r="E44" s="1366"/>
      <c r="F44" s="9"/>
      <c r="G44" s="31"/>
    </row>
    <row r="45" spans="1:52" ht="13.5" thickBot="1">
      <c r="A45" s="1367" t="s">
        <v>301</v>
      </c>
      <c r="B45" s="1368"/>
      <c r="C45" s="1368"/>
      <c r="D45" s="1368"/>
      <c r="E45" s="1368"/>
      <c r="F45" s="1368"/>
      <c r="G45" s="1368"/>
    </row>
    <row r="46" spans="1:52">
      <c r="A46" s="1392" t="s">
        <v>203</v>
      </c>
      <c r="B46" s="1393"/>
      <c r="C46" s="1393"/>
      <c r="D46" s="1393"/>
      <c r="E46" s="1393"/>
      <c r="F46" s="34" t="s">
        <v>138</v>
      </c>
      <c r="G46" s="35" t="s">
        <v>139</v>
      </c>
    </row>
    <row r="47" spans="1:52" ht="13.5" thickBot="1">
      <c r="A47" s="1394"/>
      <c r="B47" s="1395"/>
      <c r="C47" s="1395"/>
      <c r="D47" s="1395"/>
      <c r="E47" s="1395"/>
      <c r="F47" s="89"/>
      <c r="G47" s="36"/>
    </row>
    <row r="48" spans="1:52" ht="9" customHeight="1">
      <c r="A48" s="1390" t="s">
        <v>2715</v>
      </c>
      <c r="B48" s="921"/>
      <c r="C48" s="921"/>
      <c r="D48" s="921"/>
      <c r="E48" s="921"/>
      <c r="F48" s="921"/>
      <c r="G48" s="921"/>
    </row>
    <row r="49" spans="1:7" ht="9" customHeight="1">
      <c r="A49" s="1391" t="s">
        <v>2716</v>
      </c>
      <c r="B49" s="814"/>
      <c r="C49" s="814"/>
      <c r="D49" s="814"/>
      <c r="E49" s="814"/>
      <c r="F49" s="814"/>
      <c r="G49" s="814"/>
    </row>
    <row r="50" spans="1:7">
      <c r="A50" s="1323" t="s">
        <v>276</v>
      </c>
      <c r="B50" s="1323"/>
      <c r="C50" s="1323"/>
      <c r="D50" s="1323"/>
      <c r="E50" s="1323"/>
      <c r="F50" s="1323"/>
      <c r="G50" s="1323"/>
    </row>
    <row r="51" spans="1:7">
      <c r="A51" s="72"/>
      <c r="B51" s="72"/>
      <c r="C51" s="72"/>
      <c r="D51" s="72"/>
      <c r="E51" s="72"/>
      <c r="F51" s="72"/>
      <c r="G51" s="72"/>
    </row>
    <row r="52" spans="1:7">
      <c r="A52" s="72"/>
      <c r="B52" s="72"/>
      <c r="C52" s="72"/>
      <c r="D52" s="72"/>
      <c r="E52" s="72"/>
      <c r="F52" s="72"/>
      <c r="G52" s="72"/>
    </row>
    <row r="53" spans="1:7">
      <c r="A53" s="72"/>
      <c r="B53" s="72"/>
      <c r="C53" s="72"/>
      <c r="D53" s="72"/>
      <c r="E53" s="72"/>
      <c r="F53" s="72"/>
      <c r="G53" s="72"/>
    </row>
    <row r="54" spans="1:7">
      <c r="A54" s="72"/>
      <c r="B54" s="72"/>
      <c r="C54" s="72"/>
      <c r="D54" s="72"/>
      <c r="E54" s="72"/>
      <c r="F54" s="72"/>
      <c r="G54" s="72"/>
    </row>
    <row r="55" spans="1:7">
      <c r="A55" s="72"/>
      <c r="B55" s="72"/>
      <c r="C55" s="72"/>
      <c r="D55" s="72"/>
      <c r="E55" s="72"/>
      <c r="F55" s="72"/>
      <c r="G55" s="72"/>
    </row>
    <row r="56" spans="1:7">
      <c r="A56" s="72"/>
      <c r="B56" s="72"/>
      <c r="C56" s="72"/>
      <c r="D56" s="72"/>
      <c r="E56" s="72"/>
      <c r="F56" s="72"/>
      <c r="G56" s="72"/>
    </row>
    <row r="57" spans="1:7">
      <c r="A57" s="72"/>
      <c r="B57" s="72"/>
      <c r="C57" s="72"/>
      <c r="D57" s="72"/>
      <c r="E57" s="72"/>
      <c r="F57" s="72"/>
      <c r="G57" s="72"/>
    </row>
    <row r="58" spans="1:7">
      <c r="A58" s="72"/>
      <c r="B58" s="72"/>
      <c r="C58" s="72"/>
      <c r="D58" s="72"/>
      <c r="E58" s="72"/>
      <c r="F58" s="72"/>
      <c r="G58" s="72"/>
    </row>
    <row r="59" spans="1:7">
      <c r="A59" s="72"/>
      <c r="B59" s="72"/>
      <c r="C59" s="72"/>
      <c r="D59" s="72"/>
      <c r="E59" s="72"/>
      <c r="F59" s="72"/>
      <c r="G59" s="72"/>
    </row>
    <row r="60" spans="1:7">
      <c r="A60" s="72"/>
      <c r="B60" s="72"/>
      <c r="C60" s="72"/>
      <c r="D60" s="72"/>
      <c r="E60" s="72"/>
      <c r="F60" s="72"/>
      <c r="G60" s="72"/>
    </row>
    <row r="61" spans="1:7">
      <c r="A61" s="72"/>
      <c r="B61" s="72"/>
      <c r="C61" s="72"/>
      <c r="D61" s="72"/>
      <c r="E61" s="72"/>
      <c r="F61" s="72"/>
      <c r="G61" s="72"/>
    </row>
    <row r="62" spans="1:7">
      <c r="A62" s="72"/>
      <c r="B62" s="72"/>
      <c r="C62" s="72"/>
      <c r="D62" s="72"/>
      <c r="E62" s="72"/>
      <c r="F62" s="72"/>
      <c r="G62" s="72"/>
    </row>
    <row r="63" spans="1:7">
      <c r="A63" s="72"/>
      <c r="B63" s="72"/>
      <c r="C63" s="72"/>
      <c r="D63" s="72"/>
      <c r="E63" s="72"/>
      <c r="F63" s="72"/>
      <c r="G63" s="72"/>
    </row>
    <row r="64" spans="1:7">
      <c r="A64" s="72"/>
      <c r="B64" s="72"/>
      <c r="C64" s="72"/>
      <c r="D64" s="72"/>
      <c r="E64" s="72"/>
      <c r="F64" s="72"/>
      <c r="G64" s="72"/>
    </row>
    <row r="65" spans="1:7">
      <c r="A65" s="72"/>
      <c r="B65" s="72"/>
      <c r="C65" s="72"/>
      <c r="D65" s="72"/>
      <c r="E65" s="72"/>
      <c r="F65" s="72"/>
      <c r="G65" s="72"/>
    </row>
    <row r="66" spans="1:7">
      <c r="A66" s="72"/>
      <c r="B66" s="72"/>
      <c r="C66" s="72"/>
      <c r="D66" s="72"/>
      <c r="E66" s="72"/>
      <c r="F66" s="72"/>
      <c r="G66" s="72"/>
    </row>
    <row r="67" spans="1:7">
      <c r="A67" s="72"/>
      <c r="B67" s="72"/>
      <c r="C67" s="72"/>
      <c r="D67" s="72"/>
      <c r="E67" s="72"/>
      <c r="F67" s="72"/>
      <c r="G67" s="72"/>
    </row>
    <row r="68" spans="1:7">
      <c r="A68" s="72"/>
      <c r="B68" s="72"/>
      <c r="C68" s="72"/>
      <c r="D68" s="72"/>
      <c r="E68" s="72"/>
      <c r="F68" s="72"/>
      <c r="G68" s="72"/>
    </row>
    <row r="69" spans="1:7">
      <c r="A69" s="72"/>
      <c r="B69" s="72"/>
      <c r="C69" s="72"/>
      <c r="D69" s="72"/>
      <c r="E69" s="72"/>
      <c r="F69" s="72"/>
      <c r="G69" s="72"/>
    </row>
    <row r="70" spans="1:7">
      <c r="A70" s="72"/>
      <c r="B70" s="72"/>
      <c r="C70" s="72"/>
      <c r="D70" s="72"/>
      <c r="E70" s="72"/>
      <c r="F70" s="72"/>
      <c r="G70" s="72"/>
    </row>
    <row r="71" spans="1:7">
      <c r="A71" s="72"/>
      <c r="B71" s="72"/>
      <c r="C71" s="72"/>
      <c r="D71" s="72"/>
      <c r="E71" s="72"/>
      <c r="F71" s="72"/>
      <c r="G71" s="72"/>
    </row>
    <row r="72" spans="1:7">
      <c r="A72" s="72"/>
      <c r="B72" s="72"/>
      <c r="C72" s="72"/>
      <c r="D72" s="72"/>
      <c r="E72" s="72"/>
      <c r="F72" s="72"/>
      <c r="G72" s="72"/>
    </row>
    <row r="73" spans="1:7">
      <c r="A73" s="72"/>
      <c r="B73" s="72"/>
      <c r="C73" s="72"/>
      <c r="D73" s="72"/>
      <c r="E73" s="72"/>
      <c r="F73" s="72"/>
      <c r="G73" s="72"/>
    </row>
    <row r="74" spans="1:7">
      <c r="A74" s="72"/>
      <c r="B74" s="72"/>
      <c r="C74" s="72"/>
      <c r="D74" s="72"/>
      <c r="E74" s="72"/>
      <c r="F74" s="72"/>
      <c r="G74" s="72"/>
    </row>
    <row r="75" spans="1:7">
      <c r="A75" s="72"/>
      <c r="B75" s="72"/>
      <c r="C75" s="72"/>
      <c r="D75" s="72"/>
      <c r="E75" s="72"/>
      <c r="F75" s="72"/>
      <c r="G75" s="72"/>
    </row>
    <row r="76" spans="1:7">
      <c r="A76" s="72"/>
      <c r="B76" s="72"/>
      <c r="C76" s="72"/>
      <c r="D76" s="72"/>
      <c r="E76" s="72"/>
      <c r="F76" s="72"/>
      <c r="G76" s="72"/>
    </row>
    <row r="77" spans="1:7">
      <c r="A77" s="72"/>
      <c r="B77" s="72"/>
      <c r="C77" s="72"/>
      <c r="D77" s="72"/>
      <c r="E77" s="72"/>
      <c r="F77" s="72"/>
      <c r="G77" s="72"/>
    </row>
    <row r="78" spans="1:7">
      <c r="A78" s="72"/>
      <c r="B78" s="72"/>
      <c r="C78" s="72"/>
      <c r="D78" s="72"/>
      <c r="E78" s="72"/>
      <c r="F78" s="72"/>
      <c r="G78" s="72"/>
    </row>
    <row r="79" spans="1:7">
      <c r="A79" s="72"/>
      <c r="B79" s="72"/>
      <c r="C79" s="72"/>
      <c r="D79" s="72"/>
      <c r="E79" s="72"/>
      <c r="F79" s="72"/>
      <c r="G79" s="72"/>
    </row>
    <row r="80" spans="1:7">
      <c r="A80" s="72"/>
      <c r="B80" s="72"/>
      <c r="C80" s="72"/>
      <c r="D80" s="72"/>
      <c r="E80" s="72"/>
      <c r="F80" s="72"/>
      <c r="G80" s="72"/>
    </row>
    <row r="81" s="72" customFormat="1"/>
    <row r="82" s="72" customFormat="1"/>
    <row r="83" s="72" customFormat="1"/>
    <row r="84" s="72" customFormat="1"/>
    <row r="85" s="72" customFormat="1"/>
    <row r="86" s="72" customFormat="1"/>
    <row r="87" s="72" customFormat="1"/>
    <row r="88" s="72" customFormat="1"/>
    <row r="89" s="72" customFormat="1"/>
    <row r="90" s="72" customFormat="1"/>
    <row r="91" s="72" customFormat="1"/>
    <row r="92" s="72" customFormat="1"/>
    <row r="93" s="72" customFormat="1"/>
    <row r="94" s="72" customFormat="1"/>
    <row r="95" s="72" customFormat="1"/>
    <row r="96" s="72" customFormat="1"/>
    <row r="97" s="72" customFormat="1"/>
    <row r="98" s="72" customFormat="1"/>
    <row r="99" s="72" customFormat="1"/>
    <row r="100" s="72" customFormat="1"/>
    <row r="101" s="72" customFormat="1"/>
    <row r="102" s="72" customFormat="1"/>
    <row r="103" s="72" customFormat="1"/>
    <row r="104" s="72" customFormat="1"/>
    <row r="105" s="72" customFormat="1"/>
    <row r="106" s="72" customFormat="1"/>
    <row r="107" s="72" customFormat="1"/>
    <row r="108" s="72" customFormat="1"/>
    <row r="109" s="72" customFormat="1"/>
    <row r="110" s="72" customFormat="1"/>
    <row r="111" s="72" customFormat="1"/>
    <row r="112" s="72" customFormat="1"/>
    <row r="113" s="72" customFormat="1"/>
    <row r="114" s="72" customFormat="1"/>
    <row r="115" s="72" customFormat="1"/>
    <row r="116" s="72" customFormat="1"/>
    <row r="117" s="72" customFormat="1"/>
    <row r="118" s="72" customFormat="1"/>
    <row r="119" s="72" customFormat="1"/>
    <row r="120" s="72" customFormat="1"/>
    <row r="121" s="72" customFormat="1"/>
    <row r="122" s="72" customFormat="1"/>
    <row r="123" s="72" customFormat="1"/>
    <row r="124" s="72" customFormat="1"/>
    <row r="125" s="72" customFormat="1"/>
    <row r="126" s="72" customFormat="1"/>
    <row r="127" s="72" customFormat="1"/>
    <row r="128" s="72" customFormat="1"/>
    <row r="129" s="72" customFormat="1"/>
    <row r="130" s="72" customFormat="1"/>
    <row r="131" s="72" customFormat="1"/>
    <row r="132" s="72" customFormat="1"/>
    <row r="133" s="72" customFormat="1"/>
    <row r="134" s="72" customFormat="1"/>
    <row r="135" s="72" customFormat="1"/>
    <row r="136" s="72" customFormat="1"/>
    <row r="137" s="72" customFormat="1"/>
    <row r="138" s="72" customFormat="1"/>
    <row r="139" s="72" customFormat="1"/>
    <row r="140" s="72" customFormat="1"/>
    <row r="141" s="72" customFormat="1"/>
    <row r="142" s="72" customFormat="1"/>
    <row r="143" s="72" customFormat="1"/>
    <row r="144" s="72" customFormat="1"/>
    <row r="145" s="72" customFormat="1"/>
    <row r="146" s="72" customFormat="1"/>
    <row r="147" s="72" customFormat="1"/>
    <row r="148" s="72" customFormat="1"/>
    <row r="149" s="72" customFormat="1"/>
    <row r="150" s="72" customFormat="1"/>
    <row r="151" s="72" customFormat="1"/>
    <row r="152" s="72" customFormat="1"/>
    <row r="153" s="72" customFormat="1"/>
    <row r="154" s="72" customFormat="1"/>
    <row r="155" s="72" customFormat="1"/>
    <row r="156" s="72" customFormat="1"/>
    <row r="157" s="72" customFormat="1"/>
    <row r="158" s="72" customFormat="1"/>
    <row r="159" s="72" customFormat="1"/>
    <row r="160" s="72" customFormat="1"/>
    <row r="161" s="72" customFormat="1"/>
    <row r="162" s="72" customFormat="1"/>
    <row r="163" s="72" customFormat="1"/>
    <row r="164" s="72" customFormat="1"/>
    <row r="165" s="72" customFormat="1"/>
    <row r="166" s="72" customFormat="1"/>
    <row r="167" s="72" customFormat="1"/>
    <row r="168" s="72" customFormat="1"/>
    <row r="169" s="72" customFormat="1"/>
    <row r="170" s="72" customFormat="1"/>
    <row r="171" s="72" customFormat="1"/>
    <row r="172" s="72" customFormat="1"/>
    <row r="173" s="72" customFormat="1"/>
    <row r="174" s="72" customFormat="1"/>
    <row r="175" s="72" customFormat="1"/>
    <row r="176" s="72" customFormat="1"/>
    <row r="177" s="72" customFormat="1"/>
    <row r="178" s="72" customFormat="1"/>
    <row r="179" s="72" customFormat="1"/>
    <row r="180" s="72" customFormat="1"/>
    <row r="181" s="72" customFormat="1"/>
    <row r="182" s="72" customFormat="1"/>
    <row r="183" s="72" customFormat="1"/>
    <row r="184" s="72" customFormat="1"/>
    <row r="185" s="72" customFormat="1"/>
    <row r="186" s="72" customFormat="1"/>
    <row r="187" s="72" customFormat="1"/>
    <row r="188" s="72" customFormat="1"/>
    <row r="189" s="72" customFormat="1"/>
    <row r="190" s="72" customFormat="1"/>
    <row r="191" s="72" customFormat="1"/>
    <row r="192" s="72" customFormat="1"/>
    <row r="193" s="72" customFormat="1"/>
    <row r="194" s="72" customFormat="1"/>
    <row r="195" s="72" customFormat="1"/>
    <row r="196" s="72" customFormat="1"/>
    <row r="197" s="72" customFormat="1"/>
    <row r="198" s="72" customFormat="1"/>
    <row r="199" s="72" customFormat="1"/>
    <row r="200" s="72" customFormat="1"/>
    <row r="201" s="72" customFormat="1"/>
  </sheetData>
  <sheetProtection algorithmName="SHA-512" hashValue="tjDe1V5SP4oRgCjOZv0PyFYlifWxZzML4FEJwEb83YnWSITgiQNWwVq4d1jU17FPV8BkEh6ye5ieCKPl/UIiew==" saltValue="9C2NOjLZhm8K4JTgaQEIi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7"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223"/>
  <sheetViews>
    <sheetView workbookViewId="0">
      <selection activeCell="D7" sqref="D7"/>
    </sheetView>
  </sheetViews>
  <sheetFormatPr defaultRowHeight="12.75"/>
  <cols>
    <col min="1" max="1" width="4" customWidth="1"/>
    <col min="2" max="2" width="14.7109375" customWidth="1"/>
    <col min="3" max="3" width="18.7109375" customWidth="1"/>
    <col min="4" max="5" width="8.28515625" customWidth="1"/>
    <col min="6" max="6" width="3.7109375" customWidth="1"/>
    <col min="7" max="7" width="12.7109375" customWidth="1"/>
    <col min="8" max="8" width="5.7109375" customWidth="1"/>
    <col min="9" max="9" width="14.7109375" customWidth="1"/>
    <col min="10" max="10" width="5.7109375" customWidth="1"/>
    <col min="11" max="59" width="9.140625" style="72"/>
  </cols>
  <sheetData>
    <row r="1" spans="1:59" ht="18" customHeight="1" thickBot="1">
      <c r="A1" s="1289" t="s">
        <v>184</v>
      </c>
      <c r="B1" s="1290"/>
      <c r="C1" s="1290"/>
      <c r="D1" s="1290"/>
      <c r="E1" s="1290"/>
      <c r="F1" s="1290"/>
      <c r="G1" s="1458" t="s">
        <v>34</v>
      </c>
      <c r="H1" s="924"/>
      <c r="I1" s="1273" t="str">
        <f>'DAP1'!A9</f>
        <v/>
      </c>
      <c r="J1" s="1014"/>
    </row>
    <row r="2" spans="1:59" ht="24" customHeight="1">
      <c r="A2" s="1288" t="s">
        <v>2717</v>
      </c>
      <c r="B2" s="1288"/>
      <c r="C2" s="1288"/>
      <c r="D2" s="1288"/>
      <c r="E2" s="1288"/>
      <c r="F2" s="1288"/>
      <c r="G2" s="814"/>
      <c r="H2" s="1408"/>
      <c r="I2" s="1408"/>
      <c r="J2" s="1408"/>
    </row>
    <row r="3" spans="1:59" ht="36" customHeight="1">
      <c r="A3" s="1277" t="s">
        <v>157</v>
      </c>
      <c r="B3" s="1278"/>
      <c r="C3" s="1278"/>
      <c r="D3" s="1278"/>
      <c r="E3" s="1278"/>
      <c r="F3" s="1278"/>
      <c r="G3" s="1278"/>
      <c r="H3" s="1278"/>
      <c r="I3" s="1278"/>
      <c r="J3" s="1278"/>
    </row>
    <row r="4" spans="1:59" ht="30" customHeight="1">
      <c r="A4" s="1459" t="s">
        <v>2285</v>
      </c>
      <c r="B4" s="1460"/>
      <c r="C4" s="1460"/>
      <c r="D4" s="1460"/>
      <c r="E4" s="1460"/>
      <c r="F4" s="1460"/>
      <c r="G4" s="1460"/>
      <c r="H4" s="1460"/>
      <c r="I4" s="1460"/>
      <c r="J4" s="1460"/>
    </row>
    <row r="5" spans="1:59" ht="18" customHeight="1">
      <c r="A5" s="1185" t="s">
        <v>2286</v>
      </c>
      <c r="B5" s="1293"/>
      <c r="C5" s="1293"/>
      <c r="D5" s="1293"/>
      <c r="E5" s="1293"/>
      <c r="F5" s="1293"/>
      <c r="G5" s="1293"/>
      <c r="H5" s="1293"/>
      <c r="I5" s="1293"/>
      <c r="J5" s="1293"/>
    </row>
    <row r="6" spans="1:59" ht="18" customHeight="1" thickBot="1">
      <c r="A6" s="1449" t="s">
        <v>262</v>
      </c>
      <c r="B6" s="1101"/>
      <c r="C6" s="1101"/>
      <c r="D6" s="1101"/>
      <c r="E6" s="1101"/>
      <c r="F6" s="1101"/>
      <c r="G6" s="1101"/>
      <c r="H6" s="1101"/>
      <c r="I6" s="1101"/>
      <c r="J6" s="1101"/>
    </row>
    <row r="7" spans="1:59" s="102" customFormat="1" ht="24" customHeight="1" thickBot="1">
      <c r="A7" s="1452" t="s">
        <v>2287</v>
      </c>
      <c r="B7" s="1453"/>
      <c r="C7" s="1453"/>
      <c r="D7" s="155"/>
      <c r="E7" s="156"/>
      <c r="F7" s="1468" t="s">
        <v>78</v>
      </c>
      <c r="G7" s="1469"/>
      <c r="H7" s="1469"/>
      <c r="I7" s="1469"/>
      <c r="J7" s="155"/>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row>
    <row r="8" spans="1:59" ht="12" customHeight="1" thickBot="1">
      <c r="A8" s="1470"/>
      <c r="B8" s="1471"/>
      <c r="C8" s="1471"/>
      <c r="D8" s="1471"/>
      <c r="E8" s="1471"/>
      <c r="F8" s="1471"/>
      <c r="G8" s="1471"/>
      <c r="H8" s="1471"/>
      <c r="I8" s="1471"/>
      <c r="J8" s="1471"/>
    </row>
    <row r="9" spans="1:59" ht="12" customHeight="1">
      <c r="A9" s="1472"/>
      <c r="B9" s="1473"/>
      <c r="C9" s="1473"/>
      <c r="D9" s="1473"/>
      <c r="E9" s="1473"/>
      <c r="F9" s="1474"/>
      <c r="G9" s="1117" t="s">
        <v>137</v>
      </c>
      <c r="H9" s="1464"/>
      <c r="I9" s="1117" t="s">
        <v>145</v>
      </c>
      <c r="J9" s="1465"/>
    </row>
    <row r="10" spans="1:59" ht="21" customHeight="1">
      <c r="A10" s="18">
        <v>201</v>
      </c>
      <c r="B10" s="1148" t="s">
        <v>2463</v>
      </c>
      <c r="C10" s="1148"/>
      <c r="D10" s="1148"/>
      <c r="E10" s="1148"/>
      <c r="F10" s="1149"/>
      <c r="G10" s="1043">
        <v>0</v>
      </c>
      <c r="H10" s="1454"/>
      <c r="I10" s="1455"/>
      <c r="J10" s="960"/>
    </row>
    <row r="11" spans="1:59" ht="21" customHeight="1">
      <c r="A11" s="18" t="s">
        <v>76</v>
      </c>
      <c r="B11" s="1148" t="s">
        <v>2288</v>
      </c>
      <c r="C11" s="1148"/>
      <c r="D11" s="1148"/>
      <c r="E11" s="1148"/>
      <c r="F11" s="1149"/>
      <c r="G11" s="1043">
        <f>+G10</f>
        <v>0</v>
      </c>
      <c r="H11" s="1454"/>
      <c r="I11" s="1455"/>
      <c r="J11" s="960"/>
    </row>
    <row r="12" spans="1:59" ht="21" customHeight="1">
      <c r="A12" s="18">
        <v>202</v>
      </c>
      <c r="B12" s="1148" t="s">
        <v>238</v>
      </c>
      <c r="C12" s="1148"/>
      <c r="D12" s="1148"/>
      <c r="E12" s="1148"/>
      <c r="F12" s="1149"/>
      <c r="G12" s="1043">
        <f>+IF(OR(EXACT(D7,"X"),EXACT(D7,"x")),+MIN(600000,ROUND(G10*0.3,0)),0)</f>
        <v>0</v>
      </c>
      <c r="H12" s="1454"/>
      <c r="I12" s="1455"/>
      <c r="J12" s="960"/>
    </row>
    <row r="13" spans="1:59" ht="27.95" customHeight="1">
      <c r="A13" s="18">
        <v>203</v>
      </c>
      <c r="B13" s="1054" t="s">
        <v>79</v>
      </c>
      <c r="C13" s="1054"/>
      <c r="D13" s="1054"/>
      <c r="E13" s="1054"/>
      <c r="F13" s="1161"/>
      <c r="G13" s="1045">
        <f>+G10-G12</f>
        <v>0</v>
      </c>
      <c r="H13" s="1456"/>
      <c r="I13" s="1455"/>
      <c r="J13" s="960"/>
    </row>
    <row r="14" spans="1:59" ht="36" customHeight="1">
      <c r="A14" s="18">
        <v>204</v>
      </c>
      <c r="B14" s="1054" t="s">
        <v>2369</v>
      </c>
      <c r="C14" s="1054"/>
      <c r="D14" s="1054"/>
      <c r="E14" s="1054"/>
      <c r="F14" s="1161"/>
      <c r="G14" s="1043">
        <v>0</v>
      </c>
      <c r="H14" s="1454"/>
      <c r="I14" s="1455"/>
      <c r="J14" s="960"/>
    </row>
    <row r="15" spans="1:59" ht="36" customHeight="1">
      <c r="A15" s="18">
        <v>205</v>
      </c>
      <c r="B15" s="1054" t="s">
        <v>2370</v>
      </c>
      <c r="C15" s="1054"/>
      <c r="D15" s="1054"/>
      <c r="E15" s="1054"/>
      <c r="F15" s="1161"/>
      <c r="G15" s="1043">
        <v>0</v>
      </c>
      <c r="H15" s="1454"/>
      <c r="I15" s="1455"/>
      <c r="J15" s="960"/>
    </row>
    <row r="16" spans="1:59" ht="27.95" customHeight="1" thickBot="1">
      <c r="A16" s="17">
        <v>206</v>
      </c>
      <c r="B16" s="1051" t="s">
        <v>2516</v>
      </c>
      <c r="C16" s="1051"/>
      <c r="D16" s="1051"/>
      <c r="E16" s="1051"/>
      <c r="F16" s="1457"/>
      <c r="G16" s="1030">
        <f>+G13+G14-G15</f>
        <v>0</v>
      </c>
      <c r="H16" s="1475"/>
      <c r="I16" s="1476"/>
      <c r="J16" s="987"/>
    </row>
    <row r="17" spans="1:10" ht="8.1" customHeight="1" thickBot="1">
      <c r="A17" s="1185"/>
      <c r="B17" s="1293"/>
      <c r="C17" s="1293"/>
      <c r="D17" s="1293"/>
      <c r="E17" s="1293"/>
      <c r="F17" s="1293"/>
      <c r="G17" s="1293"/>
      <c r="H17" s="1293"/>
      <c r="I17" s="1293"/>
      <c r="J17" s="1293"/>
    </row>
    <row r="18" spans="1:10" ht="24" customHeight="1" thickBot="1">
      <c r="A18" s="1477" t="s">
        <v>258</v>
      </c>
      <c r="B18" s="1478"/>
      <c r="C18" s="1480">
        <v>0</v>
      </c>
      <c r="D18" s="1481"/>
      <c r="E18" s="1482"/>
      <c r="F18" s="1479" t="s">
        <v>259</v>
      </c>
      <c r="G18" s="1478"/>
      <c r="H18" s="1480">
        <v>0</v>
      </c>
      <c r="I18" s="1481"/>
      <c r="J18" s="1483"/>
    </row>
    <row r="19" spans="1:10" ht="12" customHeight="1">
      <c r="A19" s="1185"/>
      <c r="B19" s="1293"/>
      <c r="C19" s="1293"/>
      <c r="D19" s="1293"/>
      <c r="E19" s="1293"/>
      <c r="F19" s="1293"/>
      <c r="G19" s="1293"/>
      <c r="H19" s="1293"/>
      <c r="I19" s="1293"/>
      <c r="J19" s="1293"/>
    </row>
    <row r="20" spans="1:10" ht="15.95" customHeight="1">
      <c r="A20" s="1185" t="s">
        <v>2289</v>
      </c>
      <c r="B20" s="1293"/>
      <c r="C20" s="1293"/>
      <c r="D20" s="1293"/>
      <c r="E20" s="1293"/>
      <c r="F20" s="1293"/>
      <c r="G20" s="1293"/>
      <c r="H20" s="1293"/>
      <c r="I20" s="1293"/>
      <c r="J20" s="1293"/>
    </row>
    <row r="21" spans="1:10" ht="15.95" customHeight="1" thickBot="1">
      <c r="A21" s="1449" t="s">
        <v>239</v>
      </c>
      <c r="B21" s="1101"/>
      <c r="C21" s="1101"/>
      <c r="D21" s="1101"/>
      <c r="E21" s="1101"/>
      <c r="F21" s="1101"/>
      <c r="G21" s="1101"/>
      <c r="H21" s="1101"/>
      <c r="I21" s="1101"/>
      <c r="J21" s="1101"/>
    </row>
    <row r="22" spans="1:10" ht="24" customHeight="1">
      <c r="A22" s="1422" t="s">
        <v>140</v>
      </c>
      <c r="B22" s="982"/>
      <c r="C22" s="1415"/>
      <c r="D22" s="1300" t="s">
        <v>134</v>
      </c>
      <c r="E22" s="1425"/>
      <c r="F22" s="1300" t="s">
        <v>135</v>
      </c>
      <c r="G22" s="1425"/>
      <c r="H22" s="1450" t="s">
        <v>2290</v>
      </c>
      <c r="I22" s="1141"/>
      <c r="J22" s="114" t="s">
        <v>86</v>
      </c>
    </row>
    <row r="23" spans="1:10">
      <c r="A23" s="1423">
        <v>1</v>
      </c>
      <c r="B23" s="854"/>
      <c r="C23" s="1424"/>
      <c r="D23" s="1117">
        <v>2</v>
      </c>
      <c r="E23" s="1426"/>
      <c r="F23" s="1117">
        <v>3</v>
      </c>
      <c r="G23" s="1426"/>
      <c r="H23" s="1117">
        <v>4</v>
      </c>
      <c r="I23" s="1451"/>
      <c r="J23" s="7">
        <v>5</v>
      </c>
    </row>
    <row r="24" spans="1:10" ht="21" customHeight="1">
      <c r="A24" s="18">
        <v>1</v>
      </c>
      <c r="B24" s="1429"/>
      <c r="C24" s="833"/>
      <c r="D24" s="1436"/>
      <c r="E24" s="1437"/>
      <c r="F24" s="1436"/>
      <c r="G24" s="1437"/>
      <c r="H24" s="1438">
        <f>+MAX(0,D24-F24)</f>
        <v>0</v>
      </c>
      <c r="I24" s="1439"/>
      <c r="J24" s="95"/>
    </row>
    <row r="25" spans="1:10" ht="21" customHeight="1">
      <c r="A25" s="18">
        <v>2</v>
      </c>
      <c r="B25" s="1429"/>
      <c r="C25" s="833"/>
      <c r="D25" s="1436"/>
      <c r="E25" s="1437"/>
      <c r="F25" s="1436"/>
      <c r="G25" s="1437"/>
      <c r="H25" s="1438">
        <f>+MAX(0,D25-F25)</f>
        <v>0</v>
      </c>
      <c r="I25" s="1439"/>
      <c r="J25" s="95"/>
    </row>
    <row r="26" spans="1:10" ht="21" customHeight="1">
      <c r="A26" s="18">
        <v>3</v>
      </c>
      <c r="B26" s="1429"/>
      <c r="C26" s="833"/>
      <c r="D26" s="1436"/>
      <c r="E26" s="1437"/>
      <c r="F26" s="1436"/>
      <c r="G26" s="1437"/>
      <c r="H26" s="1438">
        <f>+MAX(0,D26-F26)</f>
        <v>0</v>
      </c>
      <c r="I26" s="1439"/>
      <c r="J26" s="95"/>
    </row>
    <row r="27" spans="1:10" ht="21" customHeight="1">
      <c r="A27" s="18">
        <v>4</v>
      </c>
      <c r="B27" s="1429"/>
      <c r="C27" s="833"/>
      <c r="D27" s="1436"/>
      <c r="E27" s="1437"/>
      <c r="F27" s="1436"/>
      <c r="G27" s="1437"/>
      <c r="H27" s="1438">
        <f>+MAX(0,D27-F27)</f>
        <v>0</v>
      </c>
      <c r="I27" s="1439"/>
      <c r="J27" s="95"/>
    </row>
    <row r="28" spans="1:10" ht="21" customHeight="1" thickBot="1">
      <c r="A28" s="1427" t="s">
        <v>104</v>
      </c>
      <c r="B28" s="1428"/>
      <c r="C28" s="985"/>
      <c r="D28" s="1440">
        <f>SUM(D24:D27)</f>
        <v>0</v>
      </c>
      <c r="E28" s="1441"/>
      <c r="F28" s="1440">
        <f>SUM(F24:F27)</f>
        <v>0</v>
      </c>
      <c r="G28" s="1441"/>
      <c r="H28" s="1440">
        <f>SUM(H24:H27)</f>
        <v>0</v>
      </c>
      <c r="I28" s="1441"/>
      <c r="J28" s="19" t="s">
        <v>130</v>
      </c>
    </row>
    <row r="29" spans="1:10" ht="5.0999999999999996" customHeight="1" thickBot="1">
      <c r="A29" s="1430"/>
      <c r="B29" s="921"/>
      <c r="C29" s="921"/>
      <c r="D29" s="921"/>
      <c r="E29" s="921"/>
      <c r="F29" s="921"/>
      <c r="G29" s="921"/>
      <c r="H29" s="921"/>
      <c r="I29" s="921"/>
      <c r="J29" s="921"/>
    </row>
    <row r="30" spans="1:10" ht="24" customHeight="1" thickBot="1">
      <c r="A30" s="1010" t="s">
        <v>77</v>
      </c>
      <c r="B30" s="1431"/>
      <c r="C30" s="1432"/>
      <c r="D30" s="1433"/>
      <c r="E30" s="1434"/>
      <c r="F30" s="1435"/>
      <c r="G30" s="1435"/>
      <c r="H30" s="1435"/>
      <c r="I30" s="1435"/>
      <c r="J30" s="1435"/>
    </row>
    <row r="31" spans="1:10" ht="5.0999999999999996" customHeight="1" thickBot="1">
      <c r="A31" s="1443"/>
      <c r="B31" s="885"/>
      <c r="C31" s="885"/>
      <c r="D31" s="885"/>
      <c r="E31" s="885"/>
      <c r="F31" s="885"/>
      <c r="G31" s="885"/>
      <c r="H31" s="885"/>
      <c r="I31" s="885"/>
      <c r="J31" s="885"/>
    </row>
    <row r="32" spans="1:10" ht="15.95" customHeight="1">
      <c r="A32" s="1414"/>
      <c r="B32" s="1056"/>
      <c r="C32" s="1056"/>
      <c r="D32" s="1056"/>
      <c r="E32" s="1056"/>
      <c r="F32" s="1444"/>
      <c r="G32" s="1081" t="s">
        <v>137</v>
      </c>
      <c r="H32" s="1447"/>
      <c r="I32" s="1081" t="s">
        <v>145</v>
      </c>
      <c r="J32" s="1448"/>
    </row>
    <row r="33" spans="1:10" ht="21" customHeight="1">
      <c r="A33" s="18">
        <v>207</v>
      </c>
      <c r="B33" s="1148" t="s">
        <v>7</v>
      </c>
      <c r="C33" s="1148"/>
      <c r="D33" s="1148"/>
      <c r="E33" s="1148"/>
      <c r="F33" s="1149"/>
      <c r="G33" s="1045">
        <f>+SUM(D24:E27)</f>
        <v>0</v>
      </c>
      <c r="H33" s="1047"/>
      <c r="I33" s="1446"/>
      <c r="J33" s="960"/>
    </row>
    <row r="34" spans="1:10" ht="21" customHeight="1">
      <c r="A34" s="18">
        <v>208</v>
      </c>
      <c r="B34" s="1148" t="s">
        <v>2291</v>
      </c>
      <c r="C34" s="1148"/>
      <c r="D34" s="1148"/>
      <c r="E34" s="1148"/>
      <c r="F34" s="1149"/>
      <c r="G34" s="1045">
        <f>+G33-H28</f>
        <v>0</v>
      </c>
      <c r="H34" s="1047"/>
      <c r="I34" s="1446"/>
      <c r="J34" s="960"/>
    </row>
    <row r="35" spans="1:10" ht="21" customHeight="1" thickBot="1">
      <c r="A35" s="17">
        <v>209</v>
      </c>
      <c r="B35" s="1445" t="s">
        <v>107</v>
      </c>
      <c r="C35" s="1445"/>
      <c r="D35" s="1445"/>
      <c r="E35" s="1445"/>
      <c r="F35" s="1116"/>
      <c r="G35" s="1030">
        <f>+G33-G34</f>
        <v>0</v>
      </c>
      <c r="H35" s="1032"/>
      <c r="I35" s="1442"/>
      <c r="J35" s="987"/>
    </row>
    <row r="36" spans="1:10" ht="10.5" customHeight="1">
      <c r="A36" s="1461" t="s">
        <v>80</v>
      </c>
      <c r="B36" s="1296"/>
      <c r="C36" s="1296"/>
      <c r="D36" s="1296"/>
      <c r="E36" s="1296"/>
      <c r="F36" s="1296"/>
      <c r="G36" s="1296"/>
      <c r="H36" s="1296"/>
      <c r="I36" s="1296"/>
      <c r="J36" s="1296"/>
    </row>
    <row r="37" spans="1:10" ht="30" customHeight="1">
      <c r="A37" s="1462" t="s">
        <v>2292</v>
      </c>
      <c r="B37" s="1463"/>
      <c r="C37" s="1463"/>
      <c r="D37" s="1463"/>
      <c r="E37" s="1463"/>
      <c r="F37" s="1463"/>
      <c r="G37" s="1463"/>
      <c r="H37" s="1463"/>
      <c r="I37" s="1463"/>
      <c r="J37" s="1463"/>
    </row>
    <row r="38" spans="1:10" ht="12.75" customHeight="1">
      <c r="A38" s="1466" t="str">
        <f>+'DAP1'!A46</f>
        <v>Formulář zpracovala ASPEKT HM, daňová, účetní a auditorská kancelář, www.danovapriznani.cz, business.center.cz</v>
      </c>
      <c r="B38" s="1467"/>
      <c r="C38" s="1467"/>
      <c r="D38" s="1467"/>
      <c r="E38" s="1467"/>
      <c r="F38" s="1467"/>
      <c r="G38" s="1467"/>
      <c r="H38" s="1467"/>
      <c r="I38" s="1467"/>
      <c r="J38" s="1467"/>
    </row>
    <row r="39" spans="1:10" ht="12.75" customHeight="1">
      <c r="A39" s="1325" t="s">
        <v>2718</v>
      </c>
      <c r="B39" s="1325"/>
      <c r="C39" s="1325"/>
      <c r="D39" s="1325"/>
      <c r="E39" s="1325"/>
      <c r="F39" s="1325"/>
      <c r="G39" s="1325"/>
      <c r="H39" s="1325"/>
      <c r="I39" s="1325"/>
      <c r="J39" s="1325"/>
    </row>
    <row r="40" spans="1:10" ht="12" customHeight="1">
      <c r="A40" s="1323" t="s">
        <v>275</v>
      </c>
      <c r="B40" s="1323"/>
      <c r="C40" s="1323"/>
      <c r="D40" s="1323"/>
      <c r="E40" s="1323"/>
      <c r="F40" s="1323"/>
      <c r="G40" s="1323"/>
      <c r="H40" s="814"/>
      <c r="I40" s="814"/>
      <c r="J40" s="814"/>
    </row>
    <row r="41" spans="1:10">
      <c r="A41" s="72"/>
      <c r="B41" s="72"/>
      <c r="C41" s="72"/>
      <c r="D41" s="72"/>
      <c r="E41" s="72"/>
      <c r="F41" s="72"/>
      <c r="G41" s="72"/>
      <c r="H41" s="72"/>
      <c r="I41" s="72"/>
      <c r="J41" s="72"/>
    </row>
    <row r="42" spans="1:10">
      <c r="A42" s="72"/>
      <c r="B42" s="72"/>
      <c r="C42" s="72"/>
      <c r="D42" s="72"/>
      <c r="E42" s="72"/>
      <c r="F42" s="72"/>
      <c r="G42" s="72"/>
      <c r="H42" s="72"/>
      <c r="I42" s="72"/>
      <c r="J42" s="72"/>
    </row>
    <row r="43" spans="1:10">
      <c r="A43" s="72"/>
      <c r="B43" s="72"/>
      <c r="C43" s="72"/>
      <c r="D43" s="72"/>
      <c r="E43" s="72"/>
      <c r="F43" s="72"/>
      <c r="G43" s="72"/>
      <c r="H43" s="72"/>
      <c r="I43" s="72"/>
      <c r="J43" s="72"/>
    </row>
    <row r="44" spans="1:10">
      <c r="A44" s="72"/>
      <c r="B44" s="72"/>
      <c r="C44" s="72"/>
      <c r="D44" s="72"/>
      <c r="E44" s="72"/>
      <c r="F44" s="72"/>
      <c r="G44" s="72"/>
      <c r="H44" s="72"/>
      <c r="I44" s="72"/>
      <c r="J44" s="72"/>
    </row>
    <row r="45" spans="1:10">
      <c r="A45" s="72"/>
      <c r="B45" s="72"/>
      <c r="C45" s="72"/>
      <c r="D45" s="72"/>
      <c r="E45" s="72"/>
      <c r="F45" s="72"/>
      <c r="G45" s="72"/>
      <c r="H45" s="72"/>
      <c r="I45" s="72"/>
      <c r="J45" s="72"/>
    </row>
    <row r="46" spans="1:10">
      <c r="A46" s="72"/>
      <c r="B46" s="72"/>
      <c r="C46" s="72"/>
      <c r="D46" s="72"/>
      <c r="E46" s="72"/>
      <c r="F46" s="72"/>
      <c r="G46" s="72"/>
      <c r="H46" s="72"/>
      <c r="I46" s="72"/>
      <c r="J46" s="72"/>
    </row>
    <row r="47" spans="1:10">
      <c r="A47" s="72"/>
      <c r="B47" s="72"/>
      <c r="C47" s="72"/>
      <c r="D47" s="72"/>
      <c r="E47" s="72"/>
      <c r="F47" s="72"/>
      <c r="G47" s="72"/>
      <c r="H47" s="72"/>
      <c r="I47" s="72"/>
      <c r="J47" s="72"/>
    </row>
    <row r="48" spans="1:10">
      <c r="A48" s="72"/>
      <c r="B48" s="72"/>
      <c r="C48" s="72"/>
      <c r="D48" s="72"/>
      <c r="E48" s="72"/>
      <c r="F48" s="72"/>
      <c r="G48" s="72"/>
      <c r="H48" s="72"/>
      <c r="I48" s="72"/>
      <c r="J48" s="72"/>
    </row>
    <row r="49" spans="1:10">
      <c r="A49" s="72"/>
      <c r="B49" s="72"/>
      <c r="C49" s="72"/>
      <c r="D49" s="72"/>
      <c r="E49" s="72"/>
      <c r="F49" s="72"/>
      <c r="G49" s="72"/>
      <c r="H49" s="72"/>
      <c r="I49" s="72"/>
      <c r="J49" s="72"/>
    </row>
    <row r="50" spans="1:10">
      <c r="A50" s="72"/>
      <c r="B50" s="72"/>
      <c r="C50" s="72"/>
      <c r="D50" s="72"/>
      <c r="E50" s="72"/>
      <c r="F50" s="72"/>
      <c r="G50" s="72"/>
      <c r="H50" s="72"/>
      <c r="I50" s="72"/>
      <c r="J50" s="72"/>
    </row>
    <row r="51" spans="1:10">
      <c r="A51" s="72"/>
      <c r="B51" s="72"/>
      <c r="C51" s="72"/>
      <c r="D51" s="72"/>
      <c r="E51" s="72"/>
      <c r="F51" s="72"/>
      <c r="G51" s="72"/>
      <c r="H51" s="72"/>
      <c r="I51" s="72"/>
      <c r="J51" s="72"/>
    </row>
    <row r="52" spans="1:10">
      <c r="A52" s="72"/>
      <c r="B52" s="72"/>
      <c r="C52" s="72"/>
      <c r="D52" s="72"/>
      <c r="E52" s="72"/>
      <c r="F52" s="72"/>
      <c r="G52" s="72"/>
      <c r="H52" s="72"/>
      <c r="I52" s="72"/>
      <c r="J52" s="72"/>
    </row>
    <row r="53" spans="1:10">
      <c r="A53" s="72"/>
      <c r="B53" s="72"/>
      <c r="C53" s="72"/>
      <c r="D53" s="72"/>
      <c r="E53" s="72"/>
      <c r="F53" s="72"/>
      <c r="G53" s="72"/>
      <c r="H53" s="72"/>
      <c r="I53" s="72"/>
      <c r="J53" s="72"/>
    </row>
    <row r="54" spans="1:10">
      <c r="A54" s="72"/>
      <c r="B54" s="72"/>
      <c r="C54" s="72"/>
      <c r="D54" s="72"/>
      <c r="E54" s="72"/>
      <c r="F54" s="72"/>
      <c r="G54" s="72"/>
      <c r="H54" s="72"/>
      <c r="I54" s="72"/>
      <c r="J54" s="72"/>
    </row>
    <row r="55" spans="1:10">
      <c r="A55" s="72"/>
      <c r="B55" s="72"/>
      <c r="C55" s="72"/>
      <c r="D55" s="72"/>
      <c r="E55" s="72"/>
      <c r="F55" s="72"/>
      <c r="G55" s="72"/>
      <c r="H55" s="72"/>
      <c r="I55" s="72"/>
      <c r="J55" s="72"/>
    </row>
    <row r="56" spans="1:10">
      <c r="A56" s="72"/>
      <c r="B56" s="72"/>
      <c r="C56" s="72"/>
      <c r="D56" s="72"/>
      <c r="E56" s="72"/>
      <c r="F56" s="72"/>
      <c r="G56" s="72"/>
      <c r="H56" s="72"/>
      <c r="I56" s="72"/>
      <c r="J56" s="72"/>
    </row>
    <row r="57" spans="1:10">
      <c r="A57" s="72"/>
      <c r="B57" s="72"/>
      <c r="C57" s="72"/>
      <c r="D57" s="72"/>
      <c r="E57" s="72"/>
      <c r="F57" s="72"/>
      <c r="G57" s="72"/>
      <c r="H57" s="72"/>
      <c r="I57" s="72"/>
      <c r="J57" s="72"/>
    </row>
    <row r="58" spans="1:10">
      <c r="A58" s="72"/>
      <c r="B58" s="72"/>
      <c r="C58" s="72"/>
      <c r="D58" s="72"/>
      <c r="E58" s="72"/>
      <c r="F58" s="72"/>
      <c r="G58" s="72"/>
      <c r="H58" s="72"/>
      <c r="I58" s="72"/>
      <c r="J58" s="72"/>
    </row>
    <row r="59" spans="1:10">
      <c r="A59" s="72"/>
      <c r="B59" s="72"/>
      <c r="C59" s="72"/>
      <c r="D59" s="72"/>
      <c r="E59" s="72"/>
      <c r="F59" s="72"/>
      <c r="G59" s="72"/>
      <c r="H59" s="72"/>
      <c r="I59" s="72"/>
      <c r="J59" s="72"/>
    </row>
    <row r="60" spans="1:10">
      <c r="A60" s="72"/>
      <c r="B60" s="72"/>
      <c r="C60" s="72"/>
      <c r="D60" s="72"/>
      <c r="E60" s="72"/>
      <c r="F60" s="72"/>
      <c r="G60" s="72"/>
      <c r="H60" s="72"/>
      <c r="I60" s="72"/>
      <c r="J60" s="72"/>
    </row>
    <row r="61" spans="1:10">
      <c r="A61" s="72"/>
      <c r="B61" s="72"/>
      <c r="C61" s="72"/>
      <c r="D61" s="72"/>
      <c r="E61" s="72"/>
      <c r="F61" s="72"/>
      <c r="G61" s="72"/>
      <c r="H61" s="72"/>
      <c r="I61" s="72"/>
      <c r="J61" s="72"/>
    </row>
    <row r="62" spans="1:10">
      <c r="A62" s="72"/>
      <c r="B62" s="72"/>
      <c r="C62" s="72"/>
      <c r="D62" s="72"/>
      <c r="E62" s="72"/>
      <c r="F62" s="72"/>
      <c r="G62" s="72"/>
      <c r="H62" s="72"/>
      <c r="I62" s="72"/>
      <c r="J62" s="72"/>
    </row>
    <row r="63" spans="1:10">
      <c r="A63" s="72"/>
      <c r="B63" s="72"/>
      <c r="C63" s="72"/>
      <c r="D63" s="72"/>
      <c r="E63" s="72"/>
      <c r="F63" s="72"/>
      <c r="G63" s="72"/>
      <c r="H63" s="72"/>
      <c r="I63" s="72"/>
      <c r="J63" s="72"/>
    </row>
    <row r="64" spans="1:10">
      <c r="A64" s="72"/>
      <c r="B64" s="72"/>
      <c r="C64" s="72"/>
      <c r="D64" s="72"/>
      <c r="E64" s="72"/>
      <c r="F64" s="72"/>
      <c r="G64" s="72"/>
      <c r="H64" s="72"/>
      <c r="I64" s="72"/>
      <c r="J64" s="72"/>
    </row>
    <row r="65" spans="1:10">
      <c r="A65" s="72"/>
      <c r="B65" s="72"/>
      <c r="C65" s="72"/>
      <c r="D65" s="72"/>
      <c r="E65" s="72"/>
      <c r="F65" s="72"/>
      <c r="G65" s="72"/>
      <c r="H65" s="72"/>
      <c r="I65" s="72"/>
      <c r="J65" s="72"/>
    </row>
    <row r="66" spans="1:10">
      <c r="A66" s="72"/>
      <c r="B66" s="72"/>
      <c r="C66" s="72"/>
      <c r="D66" s="72"/>
      <c r="E66" s="72"/>
      <c r="F66" s="72"/>
      <c r="G66" s="72"/>
      <c r="H66" s="72"/>
      <c r="I66" s="72"/>
      <c r="J66" s="72"/>
    </row>
    <row r="67" spans="1:10">
      <c r="A67" s="72"/>
      <c r="B67" s="72"/>
      <c r="C67" s="72"/>
      <c r="D67" s="72"/>
      <c r="E67" s="72"/>
      <c r="F67" s="72"/>
      <c r="G67" s="72"/>
      <c r="H67" s="72"/>
      <c r="I67" s="72"/>
      <c r="J67" s="72"/>
    </row>
    <row r="68" spans="1:10">
      <c r="A68" s="72"/>
      <c r="B68" s="72"/>
      <c r="C68" s="72"/>
      <c r="D68" s="72"/>
      <c r="E68" s="72"/>
      <c r="F68" s="72"/>
      <c r="G68" s="72"/>
      <c r="H68" s="72"/>
      <c r="I68" s="72"/>
      <c r="J68" s="72"/>
    </row>
    <row r="69" spans="1:10">
      <c r="A69" s="72"/>
      <c r="B69" s="72"/>
      <c r="C69" s="72"/>
      <c r="D69" s="72"/>
      <c r="E69" s="72"/>
      <c r="F69" s="72"/>
      <c r="G69" s="72"/>
      <c r="H69" s="72"/>
      <c r="I69" s="72"/>
      <c r="J69" s="72"/>
    </row>
    <row r="70" spans="1:10">
      <c r="A70" s="72"/>
      <c r="B70" s="72"/>
      <c r="C70" s="72"/>
      <c r="D70" s="72"/>
      <c r="E70" s="72"/>
      <c r="F70" s="72"/>
      <c r="G70" s="72"/>
      <c r="H70" s="72"/>
      <c r="I70" s="72"/>
      <c r="J70" s="72"/>
    </row>
    <row r="71" spans="1:10">
      <c r="A71" s="72"/>
      <c r="B71" s="72"/>
      <c r="C71" s="72"/>
      <c r="D71" s="72"/>
      <c r="E71" s="72"/>
      <c r="F71" s="72"/>
      <c r="G71" s="72"/>
      <c r="H71" s="72"/>
      <c r="I71" s="72"/>
      <c r="J71" s="72"/>
    </row>
    <row r="72" spans="1:10">
      <c r="A72" s="72"/>
      <c r="B72" s="72"/>
      <c r="C72" s="72"/>
      <c r="D72" s="72"/>
      <c r="E72" s="72"/>
      <c r="F72" s="72"/>
      <c r="G72" s="72"/>
      <c r="H72" s="72"/>
      <c r="I72" s="72"/>
      <c r="J72" s="72"/>
    </row>
    <row r="73" spans="1:10">
      <c r="A73" s="72"/>
      <c r="B73" s="72"/>
      <c r="C73" s="72"/>
      <c r="D73" s="72"/>
      <c r="E73" s="72"/>
      <c r="F73" s="72"/>
      <c r="G73" s="72"/>
      <c r="H73" s="72"/>
      <c r="I73" s="72"/>
      <c r="J73" s="72"/>
    </row>
    <row r="74" spans="1:10">
      <c r="A74" s="72"/>
      <c r="B74" s="72"/>
      <c r="C74" s="72"/>
      <c r="D74" s="72"/>
      <c r="E74" s="72"/>
      <c r="F74" s="72"/>
      <c r="G74" s="72"/>
      <c r="H74" s="72"/>
      <c r="I74" s="72"/>
      <c r="J74" s="72"/>
    </row>
    <row r="75" spans="1:10">
      <c r="A75" s="72"/>
      <c r="B75" s="72"/>
      <c r="C75" s="72"/>
      <c r="D75" s="72"/>
      <c r="E75" s="72"/>
      <c r="F75" s="72"/>
      <c r="G75" s="72"/>
      <c r="H75" s="72"/>
      <c r="I75" s="72"/>
      <c r="J75" s="72"/>
    </row>
    <row r="76" spans="1:10">
      <c r="A76" s="72"/>
      <c r="B76" s="72"/>
      <c r="C76" s="72"/>
      <c r="D76" s="72"/>
      <c r="E76" s="72"/>
      <c r="F76" s="72"/>
      <c r="G76" s="72"/>
      <c r="H76" s="72"/>
      <c r="I76" s="72"/>
      <c r="J76" s="72"/>
    </row>
    <row r="77" spans="1:10">
      <c r="A77" s="72"/>
      <c r="B77" s="72"/>
      <c r="C77" s="72"/>
      <c r="D77" s="72"/>
      <c r="E77" s="72"/>
      <c r="F77" s="72"/>
      <c r="G77" s="72"/>
      <c r="H77" s="72"/>
      <c r="I77" s="72"/>
      <c r="J77" s="72"/>
    </row>
    <row r="78" spans="1:10">
      <c r="A78" s="72"/>
      <c r="B78" s="72"/>
      <c r="C78" s="72"/>
      <c r="D78" s="72"/>
      <c r="E78" s="72"/>
      <c r="F78" s="72"/>
      <c r="G78" s="72"/>
      <c r="H78" s="72"/>
      <c r="I78" s="72"/>
      <c r="J78" s="72"/>
    </row>
    <row r="79" spans="1:10">
      <c r="A79" s="72"/>
      <c r="B79" s="72"/>
      <c r="C79" s="72"/>
      <c r="D79" s="72"/>
      <c r="E79" s="72"/>
      <c r="F79" s="72"/>
      <c r="G79" s="72"/>
      <c r="H79" s="72"/>
      <c r="I79" s="72"/>
      <c r="J79" s="72"/>
    </row>
    <row r="80" spans="1:10">
      <c r="A80" s="72"/>
      <c r="B80" s="72"/>
      <c r="C80" s="72"/>
      <c r="D80" s="72"/>
      <c r="E80" s="72"/>
      <c r="F80" s="72"/>
      <c r="G80" s="72"/>
      <c r="H80" s="72"/>
      <c r="I80" s="72"/>
      <c r="J80" s="72"/>
    </row>
    <row r="81" spans="1:10">
      <c r="A81" s="72"/>
      <c r="B81" s="72"/>
      <c r="C81" s="72"/>
      <c r="D81" s="72"/>
      <c r="E81" s="72"/>
      <c r="F81" s="72"/>
      <c r="G81" s="72"/>
      <c r="H81" s="72"/>
      <c r="I81" s="72"/>
      <c r="J81" s="72"/>
    </row>
    <row r="82" spans="1:10">
      <c r="A82" s="72"/>
      <c r="B82" s="72"/>
      <c r="C82" s="72"/>
      <c r="D82" s="72"/>
      <c r="E82" s="72"/>
      <c r="F82" s="72"/>
      <c r="G82" s="72"/>
      <c r="H82" s="72"/>
      <c r="I82" s="72"/>
      <c r="J82" s="72"/>
    </row>
    <row r="83" spans="1:10">
      <c r="A83" s="72"/>
      <c r="B83" s="72"/>
      <c r="C83" s="72"/>
      <c r="D83" s="72"/>
      <c r="E83" s="72"/>
      <c r="F83" s="72"/>
      <c r="G83" s="72"/>
      <c r="H83" s="72"/>
      <c r="I83" s="72"/>
      <c r="J83" s="72"/>
    </row>
    <row r="84" spans="1:10">
      <c r="A84" s="72"/>
      <c r="B84" s="72"/>
      <c r="C84" s="72"/>
      <c r="D84" s="72"/>
      <c r="E84" s="72"/>
      <c r="F84" s="72"/>
      <c r="G84" s="72"/>
      <c r="H84" s="72"/>
      <c r="I84" s="72"/>
      <c r="J84" s="72"/>
    </row>
    <row r="85" spans="1:10">
      <c r="A85" s="72"/>
      <c r="B85" s="72"/>
      <c r="C85" s="72"/>
      <c r="D85" s="72"/>
      <c r="E85" s="72"/>
      <c r="F85" s="72"/>
      <c r="G85" s="72"/>
      <c r="H85" s="72"/>
      <c r="I85" s="72"/>
      <c r="J85" s="72"/>
    </row>
    <row r="86" spans="1:10">
      <c r="A86" s="72"/>
      <c r="B86" s="72"/>
      <c r="C86" s="72"/>
      <c r="D86" s="72"/>
      <c r="E86" s="72"/>
      <c r="F86" s="72"/>
      <c r="G86" s="72"/>
      <c r="H86" s="72"/>
      <c r="I86" s="72"/>
      <c r="J86" s="72"/>
    </row>
    <row r="87" spans="1:10">
      <c r="A87" s="72"/>
      <c r="B87" s="72"/>
      <c r="C87" s="72"/>
      <c r="D87" s="72"/>
      <c r="E87" s="72"/>
      <c r="F87" s="72"/>
      <c r="G87" s="72"/>
      <c r="H87" s="72"/>
      <c r="I87" s="72"/>
      <c r="J87" s="72"/>
    </row>
    <row r="88" spans="1:10">
      <c r="A88" s="72"/>
      <c r="B88" s="72"/>
      <c r="C88" s="72"/>
      <c r="D88" s="72"/>
      <c r="E88" s="72"/>
      <c r="F88" s="72"/>
      <c r="G88" s="72"/>
      <c r="H88" s="72"/>
      <c r="I88" s="72"/>
      <c r="J88" s="72"/>
    </row>
    <row r="89" spans="1:10">
      <c r="A89" s="72"/>
      <c r="B89" s="72"/>
      <c r="C89" s="72"/>
      <c r="D89" s="72"/>
      <c r="E89" s="72"/>
      <c r="F89" s="72"/>
      <c r="G89" s="72"/>
      <c r="H89" s="72"/>
      <c r="I89" s="72"/>
      <c r="J89" s="72"/>
    </row>
    <row r="90" spans="1:10">
      <c r="A90" s="72"/>
      <c r="B90" s="72"/>
      <c r="C90" s="72"/>
      <c r="D90" s="72"/>
      <c r="E90" s="72"/>
      <c r="F90" s="72"/>
      <c r="G90" s="72"/>
      <c r="H90" s="72"/>
      <c r="I90" s="72"/>
      <c r="J90" s="72"/>
    </row>
    <row r="91" spans="1:10">
      <c r="A91" s="72"/>
      <c r="B91" s="72"/>
      <c r="C91" s="72"/>
      <c r="D91" s="72"/>
      <c r="E91" s="72"/>
      <c r="F91" s="72"/>
      <c r="G91" s="72"/>
      <c r="H91" s="72"/>
      <c r="I91" s="72"/>
      <c r="J91" s="72"/>
    </row>
    <row r="92" spans="1:10">
      <c r="A92" s="72"/>
      <c r="B92" s="72"/>
      <c r="C92" s="72"/>
      <c r="D92" s="72"/>
      <c r="E92" s="72"/>
      <c r="F92" s="72"/>
      <c r="G92" s="72"/>
      <c r="H92" s="72"/>
      <c r="I92" s="72"/>
      <c r="J92" s="72"/>
    </row>
    <row r="93" spans="1:10">
      <c r="A93" s="72"/>
      <c r="B93" s="72"/>
      <c r="C93" s="72"/>
      <c r="D93" s="72"/>
      <c r="E93" s="72"/>
      <c r="F93" s="72"/>
      <c r="G93" s="72"/>
      <c r="H93" s="72"/>
      <c r="I93" s="72"/>
      <c r="J93" s="72"/>
    </row>
    <row r="94" spans="1:10">
      <c r="A94" s="72"/>
      <c r="B94" s="72"/>
      <c r="C94" s="72"/>
      <c r="D94" s="72"/>
      <c r="E94" s="72"/>
      <c r="F94" s="72"/>
      <c r="G94" s="72"/>
      <c r="H94" s="72"/>
      <c r="I94" s="72"/>
      <c r="J94" s="72"/>
    </row>
    <row r="95" spans="1:10">
      <c r="A95" s="72"/>
      <c r="B95" s="72"/>
      <c r="C95" s="72"/>
      <c r="D95" s="72"/>
      <c r="E95" s="72"/>
      <c r="F95" s="72"/>
      <c r="G95" s="72"/>
      <c r="H95" s="72"/>
      <c r="I95" s="72"/>
      <c r="J95" s="72"/>
    </row>
    <row r="96" spans="1:10">
      <c r="A96" s="72"/>
      <c r="B96" s="72"/>
      <c r="C96" s="72"/>
      <c r="D96" s="72"/>
      <c r="E96" s="72"/>
      <c r="F96" s="72"/>
      <c r="G96" s="72"/>
      <c r="H96" s="72"/>
      <c r="I96" s="72"/>
      <c r="J96" s="72"/>
    </row>
    <row r="97" spans="1:10">
      <c r="A97" s="72"/>
      <c r="B97" s="72"/>
      <c r="C97" s="72"/>
      <c r="D97" s="72"/>
      <c r="E97" s="72"/>
      <c r="F97" s="72"/>
      <c r="G97" s="72"/>
      <c r="H97" s="72"/>
      <c r="I97" s="72"/>
      <c r="J97" s="72"/>
    </row>
    <row r="98" spans="1:10">
      <c r="A98" s="72"/>
      <c r="B98" s="72"/>
      <c r="C98" s="72"/>
      <c r="D98" s="72"/>
      <c r="E98" s="72"/>
      <c r="F98" s="72"/>
      <c r="G98" s="72"/>
      <c r="H98" s="72"/>
      <c r="I98" s="72"/>
      <c r="J98" s="72"/>
    </row>
    <row r="99" spans="1:10">
      <c r="A99" s="72"/>
      <c r="B99" s="72"/>
      <c r="C99" s="72"/>
      <c r="D99" s="72"/>
      <c r="E99" s="72"/>
      <c r="F99" s="72"/>
      <c r="G99" s="72"/>
      <c r="H99" s="72"/>
      <c r="I99" s="72"/>
      <c r="J99" s="72"/>
    </row>
    <row r="100" spans="1:10">
      <c r="A100" s="72"/>
      <c r="B100" s="72"/>
      <c r="C100" s="72"/>
      <c r="D100" s="72"/>
      <c r="E100" s="72"/>
      <c r="F100" s="72"/>
      <c r="G100" s="72"/>
      <c r="H100" s="72"/>
      <c r="I100" s="72"/>
      <c r="J100" s="72"/>
    </row>
    <row r="101" spans="1:10">
      <c r="A101" s="72"/>
      <c r="B101" s="72"/>
      <c r="C101" s="72"/>
      <c r="D101" s="72"/>
      <c r="E101" s="72"/>
      <c r="F101" s="72"/>
      <c r="G101" s="72"/>
      <c r="H101" s="72"/>
      <c r="I101" s="72"/>
      <c r="J101" s="72"/>
    </row>
    <row r="102" spans="1:10">
      <c r="A102" s="72"/>
      <c r="B102" s="72"/>
      <c r="C102" s="72"/>
      <c r="D102" s="72"/>
      <c r="E102" s="72"/>
      <c r="F102" s="72"/>
      <c r="G102" s="72"/>
      <c r="H102" s="72"/>
      <c r="I102" s="72"/>
      <c r="J102" s="72"/>
    </row>
    <row r="103" spans="1:10">
      <c r="A103" s="72"/>
      <c r="B103" s="72"/>
      <c r="C103" s="72"/>
      <c r="D103" s="72"/>
      <c r="E103" s="72"/>
      <c r="F103" s="72"/>
      <c r="G103" s="72"/>
      <c r="H103" s="72"/>
      <c r="I103" s="72"/>
      <c r="J103" s="72"/>
    </row>
    <row r="104" spans="1:10">
      <c r="A104" s="72"/>
      <c r="B104" s="72"/>
      <c r="C104" s="72"/>
      <c r="D104" s="72"/>
      <c r="E104" s="72"/>
      <c r="F104" s="72"/>
      <c r="G104" s="72"/>
      <c r="H104" s="72"/>
      <c r="I104" s="72"/>
      <c r="J104" s="72"/>
    </row>
    <row r="105" spans="1:10">
      <c r="A105" s="72"/>
      <c r="B105" s="72"/>
      <c r="C105" s="72"/>
      <c r="D105" s="72"/>
      <c r="E105" s="72"/>
      <c r="F105" s="72"/>
      <c r="G105" s="72"/>
      <c r="H105" s="72"/>
      <c r="I105" s="72"/>
      <c r="J105" s="72"/>
    </row>
    <row r="106" spans="1:10">
      <c r="A106" s="72"/>
      <c r="B106" s="72"/>
      <c r="C106" s="72"/>
      <c r="D106" s="72"/>
      <c r="E106" s="72"/>
      <c r="F106" s="72"/>
      <c r="G106" s="72"/>
      <c r="H106" s="72"/>
      <c r="I106" s="72"/>
      <c r="J106" s="72"/>
    </row>
    <row r="107" spans="1:10">
      <c r="A107" s="72"/>
      <c r="B107" s="72"/>
      <c r="C107" s="72"/>
      <c r="D107" s="72"/>
      <c r="E107" s="72"/>
      <c r="F107" s="72"/>
      <c r="G107" s="72"/>
      <c r="H107" s="72"/>
      <c r="I107" s="72"/>
      <c r="J107" s="72"/>
    </row>
    <row r="108" spans="1:10">
      <c r="A108" s="72"/>
      <c r="B108" s="72"/>
      <c r="C108" s="72"/>
      <c r="D108" s="72"/>
      <c r="E108" s="72"/>
      <c r="F108" s="72"/>
      <c r="G108" s="72"/>
      <c r="H108" s="72"/>
      <c r="I108" s="72"/>
      <c r="J108" s="72"/>
    </row>
    <row r="109" spans="1:10">
      <c r="A109" s="72"/>
      <c r="B109" s="72"/>
      <c r="C109" s="72"/>
      <c r="D109" s="72"/>
      <c r="E109" s="72"/>
      <c r="F109" s="72"/>
      <c r="G109" s="72"/>
      <c r="H109" s="72"/>
      <c r="I109" s="72"/>
      <c r="J109" s="72"/>
    </row>
    <row r="110" spans="1:10">
      <c r="A110" s="72"/>
      <c r="B110" s="72"/>
      <c r="C110" s="72"/>
      <c r="D110" s="72"/>
      <c r="E110" s="72"/>
      <c r="F110" s="72"/>
      <c r="G110" s="72"/>
      <c r="H110" s="72"/>
      <c r="I110" s="72"/>
      <c r="J110" s="72"/>
    </row>
    <row r="111" spans="1:10">
      <c r="A111" s="72"/>
      <c r="B111" s="72"/>
      <c r="C111" s="72"/>
      <c r="D111" s="72"/>
      <c r="E111" s="72"/>
      <c r="F111" s="72"/>
      <c r="G111" s="72"/>
      <c r="H111" s="72"/>
      <c r="I111" s="72"/>
      <c r="J111" s="72"/>
    </row>
    <row r="112" spans="1:10">
      <c r="A112" s="72"/>
      <c r="B112" s="72"/>
      <c r="C112" s="72"/>
      <c r="D112" s="72"/>
      <c r="E112" s="72"/>
      <c r="F112" s="72"/>
      <c r="G112" s="72"/>
      <c r="H112" s="72"/>
      <c r="I112" s="72"/>
      <c r="J112" s="72"/>
    </row>
    <row r="113" spans="1:10">
      <c r="A113" s="72"/>
      <c r="B113" s="72"/>
      <c r="C113" s="72"/>
      <c r="D113" s="72"/>
      <c r="E113" s="72"/>
      <c r="F113" s="72"/>
      <c r="G113" s="72"/>
      <c r="H113" s="72"/>
      <c r="I113" s="72"/>
      <c r="J113" s="72"/>
    </row>
    <row r="114" spans="1:10">
      <c r="A114" s="72"/>
      <c r="B114" s="72"/>
      <c r="C114" s="72"/>
      <c r="D114" s="72"/>
      <c r="E114" s="72"/>
      <c r="F114" s="72"/>
      <c r="G114" s="72"/>
      <c r="H114" s="72"/>
      <c r="I114" s="72"/>
      <c r="J114" s="72"/>
    </row>
    <row r="115" spans="1:10">
      <c r="A115" s="72"/>
      <c r="B115" s="72"/>
      <c r="C115" s="72"/>
      <c r="D115" s="72"/>
      <c r="E115" s="72"/>
      <c r="F115" s="72"/>
      <c r="G115" s="72"/>
      <c r="H115" s="72"/>
      <c r="I115" s="72"/>
      <c r="J115" s="72"/>
    </row>
    <row r="116" spans="1:10">
      <c r="A116" s="72"/>
      <c r="B116" s="72"/>
      <c r="C116" s="72"/>
      <c r="D116" s="72"/>
      <c r="E116" s="72"/>
      <c r="F116" s="72"/>
      <c r="G116" s="72"/>
      <c r="H116" s="72"/>
      <c r="I116" s="72"/>
      <c r="J116" s="72"/>
    </row>
    <row r="117" spans="1:10">
      <c r="A117" s="72"/>
      <c r="B117" s="72"/>
      <c r="C117" s="72"/>
      <c r="D117" s="72"/>
      <c r="E117" s="72"/>
      <c r="F117" s="72"/>
      <c r="G117" s="72"/>
      <c r="H117" s="72"/>
      <c r="I117" s="72"/>
      <c r="J117" s="72"/>
    </row>
    <row r="118" spans="1:10">
      <c r="A118" s="72"/>
      <c r="B118" s="72"/>
      <c r="C118" s="72"/>
      <c r="D118" s="72"/>
      <c r="E118" s="72"/>
      <c r="F118" s="72"/>
      <c r="G118" s="72"/>
      <c r="H118" s="72"/>
      <c r="I118" s="72"/>
      <c r="J118" s="72"/>
    </row>
    <row r="119" spans="1:10">
      <c r="A119" s="72"/>
      <c r="B119" s="72"/>
      <c r="C119" s="72"/>
      <c r="D119" s="72"/>
      <c r="E119" s="72"/>
      <c r="F119" s="72"/>
      <c r="G119" s="72"/>
      <c r="H119" s="72"/>
      <c r="I119" s="72"/>
      <c r="J119" s="72"/>
    </row>
    <row r="120" spans="1:10">
      <c r="A120" s="72"/>
      <c r="B120" s="72"/>
      <c r="C120" s="72"/>
      <c r="D120" s="72"/>
      <c r="E120" s="72"/>
      <c r="F120" s="72"/>
      <c r="G120" s="72"/>
      <c r="H120" s="72"/>
      <c r="I120" s="72"/>
      <c r="J120" s="72"/>
    </row>
    <row r="121" spans="1:10">
      <c r="A121" s="72"/>
      <c r="B121" s="72"/>
      <c r="C121" s="72"/>
      <c r="D121" s="72"/>
      <c r="E121" s="72"/>
      <c r="F121" s="72"/>
      <c r="G121" s="72"/>
      <c r="H121" s="72"/>
      <c r="I121" s="72"/>
      <c r="J121" s="72"/>
    </row>
    <row r="122" spans="1:10">
      <c r="A122" s="72"/>
      <c r="B122" s="72"/>
      <c r="C122" s="72"/>
      <c r="D122" s="72"/>
      <c r="E122" s="72"/>
      <c r="F122" s="72"/>
      <c r="G122" s="72"/>
      <c r="H122" s="72"/>
      <c r="I122" s="72"/>
      <c r="J122" s="72"/>
    </row>
    <row r="123" spans="1:10">
      <c r="A123" s="72"/>
      <c r="B123" s="72"/>
      <c r="C123" s="72"/>
      <c r="D123" s="72"/>
      <c r="E123" s="72"/>
      <c r="F123" s="72"/>
      <c r="G123" s="72"/>
      <c r="H123" s="72"/>
      <c r="I123" s="72"/>
      <c r="J123" s="72"/>
    </row>
    <row r="124" spans="1:10">
      <c r="A124" s="72"/>
      <c r="B124" s="72"/>
      <c r="C124" s="72"/>
      <c r="D124" s="72"/>
      <c r="E124" s="72"/>
      <c r="F124" s="72"/>
      <c r="G124" s="72"/>
      <c r="H124" s="72"/>
      <c r="I124" s="72"/>
      <c r="J124" s="72"/>
    </row>
    <row r="125" spans="1:10">
      <c r="A125" s="72"/>
      <c r="B125" s="72"/>
      <c r="C125" s="72"/>
      <c r="D125" s="72"/>
      <c r="E125" s="72"/>
      <c r="F125" s="72"/>
      <c r="G125" s="72"/>
      <c r="H125" s="72"/>
      <c r="I125" s="72"/>
      <c r="J125" s="72"/>
    </row>
    <row r="126" spans="1:10">
      <c r="A126" s="72"/>
      <c r="B126" s="72"/>
      <c r="C126" s="72"/>
      <c r="D126" s="72"/>
      <c r="E126" s="72"/>
      <c r="F126" s="72"/>
      <c r="G126" s="72"/>
      <c r="H126" s="72"/>
      <c r="I126" s="72"/>
      <c r="J126" s="72"/>
    </row>
    <row r="127" spans="1:10">
      <c r="A127" s="72"/>
      <c r="B127" s="72"/>
      <c r="C127" s="72"/>
      <c r="D127" s="72"/>
      <c r="E127" s="72"/>
      <c r="F127" s="72"/>
      <c r="G127" s="72"/>
      <c r="H127" s="72"/>
      <c r="I127" s="72"/>
      <c r="J127" s="72"/>
    </row>
    <row r="128" spans="1:10">
      <c r="A128" s="72"/>
      <c r="B128" s="72"/>
      <c r="C128" s="72"/>
      <c r="D128" s="72"/>
      <c r="E128" s="72"/>
      <c r="F128" s="72"/>
      <c r="G128" s="72"/>
      <c r="H128" s="72"/>
      <c r="I128" s="72"/>
      <c r="J128" s="72"/>
    </row>
    <row r="129" s="72" customFormat="1"/>
    <row r="130" s="72" customFormat="1"/>
    <row r="131" s="72" customFormat="1"/>
    <row r="132" s="72" customFormat="1"/>
    <row r="133" s="72" customFormat="1"/>
    <row r="134" s="72" customFormat="1"/>
    <row r="135" s="72" customFormat="1"/>
    <row r="136" s="72" customFormat="1"/>
    <row r="137" s="72" customFormat="1"/>
    <row r="138" s="72" customFormat="1"/>
    <row r="139" s="72" customFormat="1"/>
    <row r="140" s="72" customFormat="1"/>
    <row r="141" s="72" customFormat="1"/>
    <row r="142" s="72" customFormat="1"/>
    <row r="143" s="72" customFormat="1"/>
    <row r="144" s="72" customFormat="1"/>
    <row r="145" s="72" customFormat="1"/>
    <row r="146" s="72" customFormat="1"/>
    <row r="147" s="72" customFormat="1"/>
    <row r="148" s="72" customFormat="1"/>
    <row r="149" s="72" customFormat="1"/>
    <row r="150" s="72" customFormat="1"/>
    <row r="151" s="72" customFormat="1"/>
    <row r="152" s="72" customFormat="1"/>
    <row r="153" s="72" customFormat="1"/>
    <row r="154" s="72" customFormat="1"/>
    <row r="155" s="72" customFormat="1"/>
    <row r="156" s="72" customFormat="1"/>
    <row r="157" s="72" customFormat="1"/>
    <row r="158" s="72" customFormat="1"/>
    <row r="159" s="72" customFormat="1"/>
    <row r="160" s="72" customFormat="1"/>
    <row r="161" s="72" customFormat="1"/>
    <row r="162" s="72" customFormat="1"/>
    <row r="163" s="72" customFormat="1"/>
    <row r="164" s="72" customFormat="1"/>
    <row r="165" s="72" customFormat="1"/>
    <row r="166" s="72" customFormat="1"/>
    <row r="167" s="72" customFormat="1"/>
    <row r="168" s="72" customFormat="1"/>
    <row r="169" s="72" customFormat="1"/>
    <row r="170" s="72" customFormat="1"/>
    <row r="171" s="72" customFormat="1"/>
    <row r="172" s="72" customFormat="1"/>
    <row r="173" s="72" customFormat="1"/>
    <row r="174" s="72" customFormat="1"/>
    <row r="175" s="72" customFormat="1"/>
    <row r="176" s="72" customFormat="1"/>
    <row r="177" s="72" customFormat="1"/>
    <row r="178" s="72" customFormat="1"/>
    <row r="179" s="72" customFormat="1"/>
    <row r="180" s="72" customFormat="1"/>
    <row r="181" s="72" customFormat="1"/>
    <row r="182" s="72" customFormat="1"/>
    <row r="183" s="72" customFormat="1"/>
    <row r="184" s="72" customFormat="1"/>
    <row r="185" s="72" customFormat="1"/>
    <row r="186" s="72" customFormat="1"/>
    <row r="187" s="72" customFormat="1"/>
    <row r="188" s="72" customFormat="1"/>
    <row r="189" s="72" customFormat="1"/>
    <row r="190" s="72" customFormat="1"/>
    <row r="191" s="72" customFormat="1"/>
    <row r="192" s="72" customFormat="1"/>
    <row r="193" s="72" customFormat="1"/>
    <row r="194" s="72" customFormat="1"/>
    <row r="195" s="72" customFormat="1"/>
    <row r="196" s="72" customFormat="1"/>
    <row r="197" s="72" customFormat="1"/>
    <row r="198" s="72" customFormat="1"/>
    <row r="199" s="72" customFormat="1"/>
    <row r="200" s="72" customFormat="1"/>
    <row r="201" s="72" customFormat="1"/>
    <row r="202" s="72" customFormat="1"/>
    <row r="203" s="72" customFormat="1"/>
    <row r="204" s="72" customFormat="1"/>
    <row r="205" s="72" customFormat="1"/>
    <row r="206" s="72" customFormat="1"/>
    <row r="207" s="72" customFormat="1"/>
    <row r="208" s="72" customFormat="1"/>
    <row r="209" s="72" customFormat="1"/>
    <row r="210" s="72" customFormat="1"/>
    <row r="211" s="72" customFormat="1"/>
    <row r="212" s="72" customFormat="1"/>
    <row r="213" s="72" customFormat="1"/>
    <row r="214" s="72" customFormat="1"/>
    <row r="215" s="72" customFormat="1"/>
    <row r="216" s="72" customFormat="1"/>
    <row r="217" s="72" customFormat="1"/>
    <row r="218" s="72" customFormat="1"/>
    <row r="219" s="72" customFormat="1"/>
    <row r="220" s="72" customFormat="1"/>
    <row r="221" s="72" customFormat="1"/>
    <row r="222" s="72" customFormat="1"/>
    <row r="223" s="72" customFormat="1"/>
  </sheetData>
  <sheetProtection algorithmName="SHA-512" hashValue="Q+pIZP3hrJ7hVns0v/Bnq+gqC73XlLD0Z/cUHos30iIXWfN5uCTfFLcwqw3hqGOAA0ArMC4XfKhYqs7nifnn/A==" saltValue="aRLqzTkSqoMXMbAQ3O45ow==" spinCount="100000" sheet="1" objects="1" scenarios="1"/>
  <mergeCells count="94">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A21:J21"/>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125"/>
  <sheetViews>
    <sheetView workbookViewId="0">
      <selection activeCell="F8" sqref="F8"/>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8" width="9.140625" style="72"/>
    <col min="9" max="9" width="35.7109375" style="72" customWidth="1"/>
    <col min="10" max="10" width="4.140625" style="72" customWidth="1"/>
    <col min="11" max="60" width="9.140625" style="72"/>
  </cols>
  <sheetData>
    <row r="1" spans="1:60" s="102" customFormat="1" ht="16.5" thickBot="1">
      <c r="A1" s="1289" t="s">
        <v>85</v>
      </c>
      <c r="B1" s="814"/>
      <c r="C1" s="814"/>
      <c r="D1" s="1458" t="s">
        <v>34</v>
      </c>
      <c r="E1" s="902"/>
      <c r="F1" s="1240"/>
      <c r="G1" s="165" t="str">
        <f>+'2Př'!I1</f>
        <v/>
      </c>
      <c r="H1" s="72"/>
      <c r="I1" s="101"/>
      <c r="J1" s="101"/>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1:60" ht="24" customHeight="1" thickBot="1">
      <c r="A2" s="1288" t="s">
        <v>2719</v>
      </c>
      <c r="B2" s="1288"/>
      <c r="C2" s="1288"/>
      <c r="D2" s="1288"/>
      <c r="E2" s="1288"/>
      <c r="F2" s="1288"/>
      <c r="G2" s="110"/>
      <c r="I2" s="589" t="s">
        <v>2645</v>
      </c>
      <c r="J2" s="590"/>
    </row>
    <row r="3" spans="1:60" ht="36" customHeight="1">
      <c r="A3" s="1277" t="s">
        <v>157</v>
      </c>
      <c r="B3" s="893"/>
      <c r="C3" s="893"/>
      <c r="D3" s="893"/>
      <c r="E3" s="893"/>
      <c r="F3" s="893"/>
      <c r="G3" s="893"/>
    </row>
    <row r="4" spans="1:60" s="102" customFormat="1" ht="24" customHeight="1">
      <c r="A4" s="1502" t="s">
        <v>2293</v>
      </c>
      <c r="B4" s="1460"/>
      <c r="C4" s="1460"/>
      <c r="D4" s="1460"/>
      <c r="E4" s="1460"/>
      <c r="F4" s="1460"/>
      <c r="G4" s="1460"/>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row>
    <row r="5" spans="1:60" s="102" customFormat="1" ht="24" customHeight="1" thickBot="1">
      <c r="A5" s="1488" t="s">
        <v>2557</v>
      </c>
      <c r="B5" s="1346"/>
      <c r="C5" s="1346"/>
      <c r="D5" s="1346"/>
      <c r="E5" s="1346"/>
      <c r="F5" s="1346"/>
      <c r="G5" s="134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row>
    <row r="6" spans="1:60" s="102" customFormat="1" ht="15" customHeight="1">
      <c r="A6" s="1489"/>
      <c r="B6" s="921"/>
      <c r="C6" s="921"/>
      <c r="D6" s="921"/>
      <c r="E6" s="921"/>
      <c r="F6" s="1066" t="s">
        <v>237</v>
      </c>
      <c r="G6" s="1491"/>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row>
    <row r="7" spans="1:60" s="102" customFormat="1" ht="15" customHeight="1">
      <c r="A7" s="1490"/>
      <c r="B7" s="862"/>
      <c r="C7" s="862"/>
      <c r="D7" s="862"/>
      <c r="E7" s="862"/>
      <c r="F7" s="530" t="s">
        <v>137</v>
      </c>
      <c r="G7" s="531" t="s">
        <v>145</v>
      </c>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row>
    <row r="8" spans="1:60" s="102" customFormat="1" ht="24" customHeight="1">
      <c r="A8" s="39">
        <v>311</v>
      </c>
      <c r="B8" s="1484" t="s">
        <v>2558</v>
      </c>
      <c r="C8" s="1484"/>
      <c r="D8" s="1484"/>
      <c r="E8" s="1485"/>
      <c r="F8" s="104">
        <f>+IF(EXACT(J2,"X"),'DAP2'!E7-'DAP2'!E8,0)</f>
        <v>0</v>
      </c>
      <c r="G8" s="64"/>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row>
    <row r="9" spans="1:60" s="102" customFormat="1" ht="24" customHeight="1">
      <c r="A9" s="39">
        <v>312</v>
      </c>
      <c r="B9" s="1484" t="s">
        <v>2559</v>
      </c>
      <c r="C9" s="1484"/>
      <c r="D9" s="1484"/>
      <c r="E9" s="1485"/>
      <c r="F9" s="104">
        <f>+IF(EXACT(J2,"X"),+'DAP2'!E11+'DAP2'!E12+'DAP2'!E13+'DAP2'!E14,0)</f>
        <v>0</v>
      </c>
      <c r="G9" s="64"/>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row>
    <row r="10" spans="1:60" s="102" customFormat="1" ht="24" customHeight="1">
      <c r="A10" s="39">
        <v>313</v>
      </c>
      <c r="B10" s="1484" t="s">
        <v>2560</v>
      </c>
      <c r="C10" s="1484"/>
      <c r="D10" s="1484"/>
      <c r="E10" s="1485"/>
      <c r="F10" s="532">
        <f>+F8+MAX(F9,0)</f>
        <v>0</v>
      </c>
      <c r="G10" s="64"/>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row>
    <row r="11" spans="1:60" s="102" customFormat="1" ht="33.950000000000003" customHeight="1">
      <c r="A11" s="39">
        <v>314</v>
      </c>
      <c r="B11" s="1484" t="s">
        <v>2561</v>
      </c>
      <c r="C11" s="1484"/>
      <c r="D11" s="1484"/>
      <c r="E11" s="1485"/>
      <c r="F11" s="532">
        <f>IF(F10=0,0,FLOOR(+F10-'DAP2'!E18-'DAP2'!F31,100))</f>
        <v>0</v>
      </c>
      <c r="G11" s="64"/>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row>
    <row r="12" spans="1:60" s="102" customFormat="1" ht="24" customHeight="1" thickBot="1">
      <c r="A12" s="39">
        <v>315</v>
      </c>
      <c r="B12" s="1484" t="s">
        <v>2562</v>
      </c>
      <c r="C12" s="1484"/>
      <c r="D12" s="1484"/>
      <c r="E12" s="1485"/>
      <c r="F12" s="159">
        <f>ROUND(IF(F11=0,0,+'DAP2'!F34/'DAP2'!F33),4)</f>
        <v>0</v>
      </c>
      <c r="G12" s="64"/>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row>
    <row r="13" spans="1:60" s="102" customFormat="1" ht="24" customHeight="1" thickBot="1">
      <c r="A13" s="77">
        <v>316</v>
      </c>
      <c r="B13" s="1486" t="s">
        <v>2563</v>
      </c>
      <c r="C13" s="1486"/>
      <c r="D13" s="1486"/>
      <c r="E13" s="1487"/>
      <c r="F13" s="259">
        <f>+F11*F12</f>
        <v>0</v>
      </c>
      <c r="G13" s="82"/>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row>
    <row r="14" spans="1:60" s="102" customFormat="1" ht="15" customHeight="1">
      <c r="A14" s="1488"/>
      <c r="B14" s="1346"/>
      <c r="C14" s="1346"/>
      <c r="D14" s="1346"/>
      <c r="E14" s="1346"/>
      <c r="F14" s="1346"/>
      <c r="G14" s="134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row>
    <row r="15" spans="1:60" ht="24" customHeight="1">
      <c r="A15" s="1488" t="s">
        <v>2564</v>
      </c>
      <c r="B15" s="1346"/>
      <c r="C15" s="1346"/>
      <c r="D15" s="1346"/>
      <c r="E15" s="1346"/>
      <c r="F15" s="1346"/>
      <c r="G15" s="1346"/>
    </row>
    <row r="16" spans="1:60" ht="36" customHeight="1">
      <c r="A16" s="1500" t="s">
        <v>2294</v>
      </c>
      <c r="B16" s="923"/>
      <c r="C16" s="923"/>
      <c r="D16" s="923"/>
      <c r="E16" s="923"/>
      <c r="F16" s="923"/>
      <c r="G16" s="923"/>
    </row>
    <row r="17" spans="1:10" ht="15" customHeight="1">
      <c r="A17" s="1500" t="s">
        <v>229</v>
      </c>
      <c r="B17" s="1240"/>
      <c r="C17" s="137"/>
      <c r="D17" s="1506"/>
      <c r="E17" s="923"/>
      <c r="F17" s="923"/>
      <c r="G17" s="923"/>
    </row>
    <row r="18" spans="1:10" ht="8.1" customHeight="1" thickBot="1">
      <c r="A18" s="1507"/>
      <c r="B18" s="1508"/>
      <c r="C18" s="1508"/>
      <c r="D18" s="1508"/>
      <c r="E18" s="1508"/>
      <c r="F18" s="1508"/>
      <c r="G18" s="1508"/>
    </row>
    <row r="19" spans="1:10" ht="15" customHeight="1">
      <c r="A19" s="1503"/>
      <c r="B19" s="1504"/>
      <c r="C19" s="1504"/>
      <c r="D19" s="1504"/>
      <c r="E19" s="1505"/>
      <c r="F19" s="73" t="s">
        <v>137</v>
      </c>
      <c r="G19" s="83" t="s">
        <v>145</v>
      </c>
      <c r="I19" s="136"/>
      <c r="J19" s="136"/>
    </row>
    <row r="20" spans="1:10" ht="24" customHeight="1">
      <c r="A20" s="39">
        <v>321</v>
      </c>
      <c r="B20" s="1492" t="s">
        <v>230</v>
      </c>
      <c r="C20" s="1492"/>
      <c r="D20" s="1492"/>
      <c r="E20" s="1493"/>
      <c r="F20" s="104">
        <v>0</v>
      </c>
      <c r="G20" s="64"/>
    </row>
    <row r="21" spans="1:10" ht="24" customHeight="1">
      <c r="A21" s="39">
        <v>322</v>
      </c>
      <c r="B21" s="1492" t="s">
        <v>231</v>
      </c>
      <c r="C21" s="1492"/>
      <c r="D21" s="1492"/>
      <c r="E21" s="1493"/>
      <c r="F21" s="104">
        <v>0</v>
      </c>
      <c r="G21" s="64"/>
    </row>
    <row r="22" spans="1:10" ht="24" customHeight="1">
      <c r="A22" s="39">
        <v>323</v>
      </c>
      <c r="B22" s="1492" t="s">
        <v>103</v>
      </c>
      <c r="C22" s="1492"/>
      <c r="D22" s="1492"/>
      <c r="E22" s="1493"/>
      <c r="F22" s="104">
        <v>0</v>
      </c>
      <c r="G22" s="64"/>
    </row>
    <row r="23" spans="1:10" ht="24" customHeight="1">
      <c r="A23" s="39">
        <v>324</v>
      </c>
      <c r="B23" s="1484" t="s">
        <v>2633</v>
      </c>
      <c r="C23" s="1484"/>
      <c r="D23" s="1484"/>
      <c r="E23" s="1485"/>
      <c r="F23" s="255">
        <f>ROUND(+IF(+IF(IF('DAP2'!E16=0,0,(F20-F21)/'DAP2'!E16)&lt;0,0,IF('DAP2'!E16=0,0,(F20-F21)/'DAP2'!E16))&gt;1,1,+IF(IF('DAP2'!E16=0,0,(F20-F21)/'DAP2'!E16)&lt;0,0,IF('DAP2'!E16=0,0,(F20-F21)/'DAP2'!E16))),4)</f>
        <v>0</v>
      </c>
      <c r="G23" s="64"/>
    </row>
    <row r="24" spans="1:10" ht="24" customHeight="1">
      <c r="A24" s="39">
        <v>325</v>
      </c>
      <c r="B24" s="1484" t="s">
        <v>2556</v>
      </c>
      <c r="C24" s="1484"/>
      <c r="D24" s="1484"/>
      <c r="E24" s="1485"/>
      <c r="F24" s="257">
        <f>ROUND((+'DAP2'!F34+'DAP2'!F37)*'3Př'!F23,2)</f>
        <v>0</v>
      </c>
      <c r="G24" s="64"/>
    </row>
    <row r="25" spans="1:10" ht="24" customHeight="1" thickBot="1">
      <c r="A25" s="41">
        <v>326</v>
      </c>
      <c r="B25" s="1496" t="s">
        <v>132</v>
      </c>
      <c r="C25" s="1496"/>
      <c r="D25" s="1496"/>
      <c r="E25" s="1497"/>
      <c r="F25" s="258">
        <f>+MIN(F22,F24)</f>
        <v>0</v>
      </c>
      <c r="G25" s="81"/>
    </row>
    <row r="26" spans="1:10" ht="24" customHeight="1" thickBot="1">
      <c r="A26" s="77">
        <v>327</v>
      </c>
      <c r="B26" s="1486" t="s">
        <v>133</v>
      </c>
      <c r="C26" s="1486"/>
      <c r="D26" s="1486"/>
      <c r="E26" s="1487"/>
      <c r="F26" s="259">
        <f>+F22-F25</f>
        <v>0</v>
      </c>
      <c r="G26" s="82"/>
    </row>
    <row r="27" spans="1:10" ht="24" customHeight="1" thickBot="1">
      <c r="A27" s="77">
        <v>328</v>
      </c>
      <c r="B27" s="1486" t="s">
        <v>2295</v>
      </c>
      <c r="C27" s="1486"/>
      <c r="D27" s="1486"/>
      <c r="E27" s="1487"/>
      <c r="F27" s="260">
        <f>+F25+'3Př_a'!F17</f>
        <v>0</v>
      </c>
      <c r="G27" s="82"/>
    </row>
    <row r="28" spans="1:10" ht="24" customHeight="1" thickBot="1">
      <c r="A28" s="77">
        <v>329</v>
      </c>
      <c r="B28" s="1486" t="s">
        <v>2296</v>
      </c>
      <c r="C28" s="1486"/>
      <c r="D28" s="1486"/>
      <c r="E28" s="1487"/>
      <c r="F28" s="260">
        <f>+F26+'3Př_a'!F18</f>
        <v>0</v>
      </c>
      <c r="G28" s="82"/>
    </row>
    <row r="29" spans="1:10" ht="24" customHeight="1" thickBot="1">
      <c r="A29" s="1500"/>
      <c r="B29" s="923"/>
      <c r="C29" s="923"/>
      <c r="D29" s="923"/>
      <c r="E29" s="923"/>
      <c r="F29" s="923"/>
      <c r="G29" s="923"/>
    </row>
    <row r="30" spans="1:10" ht="24" customHeight="1" thickBot="1">
      <c r="A30" s="77">
        <v>330</v>
      </c>
      <c r="B30" s="1501" t="s">
        <v>2371</v>
      </c>
      <c r="C30" s="1486"/>
      <c r="D30" s="1486"/>
      <c r="E30" s="1487"/>
      <c r="F30" s="259">
        <f>+IF(F20+F8+F9=0,0,IF(OR(F20&gt;0,F13=0),'DAP2'!F34-F27,F13-F27))</f>
        <v>0</v>
      </c>
      <c r="G30" s="82"/>
    </row>
    <row r="31" spans="1:10" ht="50.1" customHeight="1">
      <c r="A31" s="1017"/>
      <c r="B31" s="921"/>
      <c r="C31" s="921"/>
      <c r="D31" s="921"/>
      <c r="E31" s="921"/>
      <c r="F31" s="921"/>
      <c r="G31" s="921"/>
    </row>
    <row r="32" spans="1:10" ht="15.95" customHeight="1">
      <c r="A32" s="1499" t="str">
        <f>+'DAP1'!A46</f>
        <v>Formulář zpracovala ASPEKT HM, daňová, účetní a auditorská kancelář, www.danovapriznani.cz, business.center.cz</v>
      </c>
      <c r="B32" s="1499"/>
      <c r="C32" s="1499"/>
      <c r="D32" s="1499"/>
      <c r="E32" s="1499"/>
      <c r="F32" s="1499"/>
      <c r="G32" s="1499"/>
    </row>
    <row r="33" spans="1:60" s="158" customFormat="1" ht="12" customHeight="1">
      <c r="A33" s="1498" t="s">
        <v>2720</v>
      </c>
      <c r="B33" s="1498"/>
      <c r="C33" s="1498"/>
      <c r="D33" s="1498"/>
      <c r="E33" s="1498"/>
      <c r="F33" s="1498"/>
      <c r="G33" s="1498"/>
      <c r="H33" s="157"/>
      <c r="I33" s="588"/>
      <c r="J33" s="588"/>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row>
    <row r="34" spans="1:60">
      <c r="A34" s="1494" t="s">
        <v>275</v>
      </c>
      <c r="B34" s="1494"/>
      <c r="C34" s="1494"/>
      <c r="D34" s="1494"/>
      <c r="E34" s="1495"/>
      <c r="F34" s="1495"/>
      <c r="G34" s="1495"/>
    </row>
    <row r="35" spans="1:60">
      <c r="A35" s="72"/>
      <c r="B35" s="72"/>
      <c r="C35" s="72"/>
      <c r="D35" s="72"/>
      <c r="E35" s="72"/>
      <c r="F35" s="72"/>
      <c r="G35" s="72"/>
    </row>
    <row r="36" spans="1:60">
      <c r="A36" s="72"/>
      <c r="B36" s="72"/>
      <c r="C36" s="72"/>
      <c r="D36" s="72"/>
      <c r="E36" s="72"/>
      <c r="F36" s="72"/>
      <c r="G36" s="72"/>
    </row>
    <row r="37" spans="1:60">
      <c r="A37" s="72"/>
      <c r="B37" s="72"/>
      <c r="C37" s="72"/>
      <c r="D37" s="72"/>
      <c r="E37" s="72"/>
      <c r="F37" s="72"/>
      <c r="G37" s="72"/>
    </row>
    <row r="38" spans="1:60">
      <c r="A38" s="72"/>
      <c r="B38" s="72"/>
      <c r="C38" s="72"/>
      <c r="D38" s="72"/>
      <c r="E38" s="72"/>
      <c r="F38" s="72"/>
      <c r="G38" s="72"/>
    </row>
    <row r="39" spans="1:60">
      <c r="A39" s="72"/>
      <c r="B39" s="72"/>
      <c r="C39" s="72"/>
      <c r="D39" s="72"/>
      <c r="E39" s="72"/>
      <c r="F39" s="72"/>
      <c r="G39" s="72"/>
    </row>
    <row r="40" spans="1:60">
      <c r="A40" s="72"/>
      <c r="B40" s="72"/>
      <c r="C40" s="72"/>
      <c r="D40" s="72"/>
      <c r="E40" s="72"/>
      <c r="F40" s="72"/>
      <c r="G40" s="72"/>
    </row>
    <row r="41" spans="1:60">
      <c r="A41" s="72"/>
      <c r="B41" s="72"/>
      <c r="C41" s="72"/>
      <c r="D41" s="72"/>
      <c r="E41" s="72"/>
      <c r="F41" s="72"/>
      <c r="G41" s="72"/>
    </row>
    <row r="42" spans="1:60">
      <c r="A42" s="72"/>
      <c r="B42" s="72"/>
      <c r="C42" s="72"/>
      <c r="D42" s="72"/>
      <c r="E42" s="72"/>
      <c r="F42" s="72"/>
      <c r="G42" s="72"/>
    </row>
    <row r="43" spans="1:60">
      <c r="A43" s="72"/>
      <c r="B43" s="72"/>
      <c r="C43" s="72"/>
      <c r="D43" s="72"/>
      <c r="E43" s="72"/>
      <c r="F43" s="72"/>
      <c r="G43" s="72"/>
    </row>
    <row r="44" spans="1:60">
      <c r="A44" s="72"/>
      <c r="B44" s="72"/>
      <c r="C44" s="72"/>
      <c r="D44" s="72"/>
      <c r="E44" s="72"/>
      <c r="F44" s="72"/>
      <c r="G44" s="72"/>
    </row>
    <row r="45" spans="1:60">
      <c r="A45" s="72"/>
      <c r="B45" s="72"/>
      <c r="C45" s="72"/>
      <c r="D45" s="72"/>
      <c r="E45" s="72"/>
      <c r="F45" s="72"/>
      <c r="G45" s="72"/>
    </row>
    <row r="46" spans="1:60">
      <c r="A46" s="72"/>
      <c r="B46" s="72"/>
      <c r="C46" s="72"/>
      <c r="D46" s="72"/>
      <c r="E46" s="72"/>
      <c r="F46" s="72"/>
      <c r="G46" s="72"/>
    </row>
    <row r="47" spans="1:60">
      <c r="A47" s="72"/>
      <c r="B47" s="72"/>
      <c r="C47" s="72"/>
      <c r="D47" s="72"/>
      <c r="E47" s="72"/>
      <c r="F47" s="72"/>
      <c r="G47" s="72"/>
    </row>
    <row r="48" spans="1:60">
      <c r="A48" s="72"/>
      <c r="B48" s="72"/>
      <c r="C48" s="72"/>
      <c r="D48" s="72"/>
      <c r="E48" s="72"/>
      <c r="F48" s="72"/>
      <c r="G48" s="72"/>
    </row>
    <row r="49" spans="1:7">
      <c r="A49" s="72"/>
      <c r="B49" s="72"/>
      <c r="C49" s="72"/>
      <c r="D49" s="72"/>
      <c r="E49" s="72"/>
      <c r="F49" s="72"/>
      <c r="G49" s="72"/>
    </row>
    <row r="50" spans="1:7">
      <c r="A50" s="72"/>
      <c r="B50" s="72"/>
      <c r="C50" s="72"/>
      <c r="D50" s="72"/>
      <c r="E50" s="72"/>
      <c r="F50" s="72"/>
      <c r="G50" s="72"/>
    </row>
    <row r="51" spans="1:7">
      <c r="A51" s="72"/>
      <c r="B51" s="72"/>
      <c r="C51" s="72"/>
      <c r="D51" s="72"/>
      <c r="E51" s="72"/>
      <c r="F51" s="72"/>
      <c r="G51" s="72"/>
    </row>
    <row r="52" spans="1:7">
      <c r="A52" s="72"/>
      <c r="B52" s="72"/>
      <c r="C52" s="72"/>
      <c r="D52" s="72"/>
      <c r="E52" s="72"/>
      <c r="F52" s="72"/>
      <c r="G52" s="72"/>
    </row>
    <row r="53" spans="1:7">
      <c r="A53" s="72"/>
      <c r="B53" s="72"/>
      <c r="C53" s="72"/>
      <c r="D53" s="72"/>
      <c r="E53" s="72"/>
      <c r="F53" s="72"/>
      <c r="G53" s="72"/>
    </row>
    <row r="54" spans="1:7">
      <c r="A54" s="72"/>
      <c r="B54" s="72"/>
      <c r="C54" s="72"/>
      <c r="D54" s="72"/>
      <c r="E54" s="72"/>
      <c r="F54" s="72"/>
      <c r="G54" s="72"/>
    </row>
    <row r="55" spans="1:7">
      <c r="A55" s="72"/>
      <c r="B55" s="72"/>
      <c r="C55" s="72"/>
      <c r="D55" s="72"/>
      <c r="E55" s="72"/>
      <c r="F55" s="72"/>
      <c r="G55" s="72"/>
    </row>
    <row r="56" spans="1:7">
      <c r="A56" s="72"/>
      <c r="B56" s="72"/>
      <c r="C56" s="72"/>
      <c r="D56" s="72"/>
      <c r="E56" s="72"/>
      <c r="F56" s="72"/>
      <c r="G56" s="72"/>
    </row>
    <row r="57" spans="1:7">
      <c r="A57" s="72"/>
      <c r="B57" s="72"/>
      <c r="C57" s="72"/>
      <c r="D57" s="72"/>
      <c r="E57" s="72"/>
      <c r="F57" s="72"/>
      <c r="G57" s="72"/>
    </row>
    <row r="58" spans="1:7">
      <c r="A58" s="72"/>
      <c r="B58" s="72"/>
      <c r="C58" s="72"/>
      <c r="D58" s="72"/>
      <c r="E58" s="72"/>
      <c r="F58" s="72"/>
      <c r="G58" s="72"/>
    </row>
    <row r="59" spans="1:7">
      <c r="A59" s="72"/>
      <c r="B59" s="72"/>
      <c r="C59" s="72"/>
      <c r="D59" s="72"/>
      <c r="E59" s="72"/>
      <c r="F59" s="72"/>
      <c r="G59" s="72"/>
    </row>
    <row r="60" spans="1:7">
      <c r="A60" s="72"/>
      <c r="B60" s="72"/>
      <c r="C60" s="72"/>
      <c r="D60" s="72"/>
      <c r="E60" s="72"/>
      <c r="F60" s="72"/>
      <c r="G60" s="72"/>
    </row>
    <row r="61" spans="1:7">
      <c r="A61" s="72"/>
      <c r="B61" s="72"/>
      <c r="C61" s="72"/>
      <c r="D61" s="72"/>
      <c r="E61" s="72"/>
      <c r="F61" s="72"/>
      <c r="G61" s="72"/>
    </row>
    <row r="62" spans="1:7">
      <c r="A62" s="72"/>
      <c r="B62" s="72"/>
      <c r="C62" s="72"/>
      <c r="D62" s="72"/>
      <c r="E62" s="72"/>
      <c r="F62" s="72"/>
      <c r="G62" s="72"/>
    </row>
    <row r="63" spans="1:7">
      <c r="A63" s="72"/>
      <c r="B63" s="72"/>
      <c r="C63" s="72"/>
      <c r="D63" s="72"/>
      <c r="E63" s="72"/>
      <c r="F63" s="72"/>
      <c r="G63" s="72"/>
    </row>
    <row r="64" spans="1:7">
      <c r="A64" s="72"/>
      <c r="B64" s="72"/>
      <c r="C64" s="72"/>
      <c r="D64" s="72"/>
      <c r="E64" s="72"/>
      <c r="F64" s="72"/>
      <c r="G64" s="72"/>
    </row>
    <row r="65" spans="1:7">
      <c r="A65" s="72"/>
      <c r="B65" s="72"/>
      <c r="C65" s="72"/>
      <c r="D65" s="72"/>
      <c r="E65" s="72"/>
      <c r="F65" s="72"/>
      <c r="G65" s="72"/>
    </row>
    <row r="66" spans="1:7">
      <c r="A66" s="72"/>
      <c r="B66" s="72"/>
      <c r="C66" s="72"/>
      <c r="D66" s="72"/>
      <c r="E66" s="72"/>
      <c r="F66" s="72"/>
      <c r="G66" s="72"/>
    </row>
    <row r="67" spans="1:7">
      <c r="A67" s="72"/>
      <c r="B67" s="72"/>
      <c r="C67" s="72"/>
      <c r="D67" s="72"/>
      <c r="E67" s="72"/>
      <c r="F67" s="72"/>
      <c r="G67" s="72"/>
    </row>
    <row r="68" spans="1:7">
      <c r="A68" s="72"/>
      <c r="B68" s="72"/>
      <c r="C68" s="72"/>
      <c r="D68" s="72"/>
      <c r="E68" s="72"/>
      <c r="F68" s="72"/>
      <c r="G68" s="72"/>
    </row>
    <row r="69" spans="1:7">
      <c r="A69" s="72"/>
      <c r="B69" s="72"/>
      <c r="C69" s="72"/>
      <c r="D69" s="72"/>
      <c r="E69" s="72"/>
      <c r="F69" s="72"/>
      <c r="G69" s="72"/>
    </row>
    <row r="70" spans="1:7">
      <c r="A70" s="72"/>
      <c r="B70" s="72"/>
      <c r="C70" s="72"/>
      <c r="D70" s="72"/>
      <c r="E70" s="72"/>
      <c r="F70" s="72"/>
      <c r="G70" s="72"/>
    </row>
    <row r="71" spans="1:7">
      <c r="A71" s="72"/>
      <c r="B71" s="72"/>
      <c r="C71" s="72"/>
      <c r="D71" s="72"/>
      <c r="E71" s="72"/>
      <c r="F71" s="72"/>
      <c r="G71" s="72"/>
    </row>
    <row r="72" spans="1:7">
      <c r="A72" s="72"/>
      <c r="B72" s="72"/>
      <c r="C72" s="72"/>
      <c r="D72" s="72"/>
      <c r="E72" s="72"/>
      <c r="F72" s="72"/>
      <c r="G72" s="72"/>
    </row>
    <row r="73" spans="1:7">
      <c r="A73" s="72"/>
      <c r="B73" s="72"/>
      <c r="C73" s="72"/>
      <c r="D73" s="72"/>
      <c r="E73" s="72"/>
      <c r="F73" s="72"/>
      <c r="G73" s="72"/>
    </row>
    <row r="74" spans="1:7" s="72" customFormat="1"/>
    <row r="75" spans="1:7" s="72" customFormat="1"/>
    <row r="76" spans="1:7" s="72" customFormat="1"/>
    <row r="77" spans="1:7" s="72" customFormat="1"/>
    <row r="78" spans="1:7" s="72" customFormat="1"/>
    <row r="79" spans="1:7" s="72" customFormat="1"/>
    <row r="80" spans="1:7" s="72" customFormat="1"/>
    <row r="81" s="72" customFormat="1"/>
    <row r="82" s="72" customFormat="1"/>
    <row r="83" s="72" customFormat="1"/>
    <row r="84" s="72" customFormat="1"/>
    <row r="85" s="72" customFormat="1"/>
    <row r="86" s="72" customFormat="1"/>
    <row r="87" s="72" customFormat="1"/>
    <row r="88" s="72" customFormat="1"/>
    <row r="89" s="72" customFormat="1"/>
    <row r="90" s="72" customFormat="1"/>
    <row r="91" s="72" customFormat="1"/>
    <row r="92" s="72" customFormat="1"/>
    <row r="93" s="72" customFormat="1"/>
    <row r="94" s="72" customFormat="1"/>
    <row r="95" s="72" customFormat="1"/>
    <row r="96" s="72" customFormat="1"/>
    <row r="97" s="72" customFormat="1"/>
    <row r="98" s="72" customFormat="1"/>
    <row r="99" s="72" customFormat="1"/>
    <row r="100" s="72" customFormat="1"/>
    <row r="101" s="72" customFormat="1"/>
    <row r="102" s="72" customFormat="1"/>
    <row r="103" s="72" customFormat="1"/>
    <row r="104" s="72" customFormat="1"/>
    <row r="105" s="72" customFormat="1"/>
    <row r="106" s="72" customFormat="1"/>
    <row r="107" s="72" customFormat="1"/>
    <row r="108" s="72" customFormat="1"/>
    <row r="109" s="72" customFormat="1"/>
    <row r="110" s="72" customFormat="1"/>
    <row r="111" s="72" customFormat="1"/>
    <row r="112" s="72" customFormat="1"/>
    <row r="113" s="72" customFormat="1"/>
    <row r="114" s="72" customFormat="1"/>
    <row r="115" s="72" customFormat="1"/>
    <row r="116" s="72" customFormat="1"/>
    <row r="117" s="72" customFormat="1"/>
    <row r="118" s="72" customFormat="1"/>
    <row r="119" s="72" customFormat="1"/>
    <row r="120" s="72" customFormat="1"/>
    <row r="121" s="72" customFormat="1"/>
    <row r="122" s="72" customFormat="1"/>
    <row r="123" s="72" customFormat="1"/>
    <row r="124" s="72" customFormat="1"/>
    <row r="125" s="72" customFormat="1"/>
  </sheetData>
  <sheetProtection algorithmName="SHA-512" hashValue="KGnMTONTmN7hBWHZIw+DEJqsiwAFUGJ89mpVL2jtMYWIj5dnW93MVQotw4ONfWYEOxqiMi2pugvdMU3rNjkvXQ==" saltValue="Aa2h5248giKs5U8yV1Lplw==" spinCount="100000" sheet="1" objects="1" scenarios="1"/>
  <mergeCells count="36">
    <mergeCell ref="A19:E19"/>
    <mergeCell ref="A15:G15"/>
    <mergeCell ref="A16:G16"/>
    <mergeCell ref="A17:B17"/>
    <mergeCell ref="D17:G17"/>
    <mergeCell ref="A18:G18"/>
    <mergeCell ref="A1:C1"/>
    <mergeCell ref="A2:F2"/>
    <mergeCell ref="D1:F1"/>
    <mergeCell ref="A3:G3"/>
    <mergeCell ref="A4:G4"/>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 ref="A5:G5"/>
    <mergeCell ref="A6:E7"/>
    <mergeCell ref="F6:G6"/>
    <mergeCell ref="B8:E8"/>
    <mergeCell ref="B9:E9"/>
    <mergeCell ref="B10:E10"/>
    <mergeCell ref="B11:E11"/>
    <mergeCell ref="B12:E12"/>
    <mergeCell ref="B13:E13"/>
    <mergeCell ref="A14:G14"/>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tabColor rgb="FFFFCCFF"/>
    <pageSetUpPr fitToPage="1"/>
  </sheetPr>
  <dimension ref="A1:BH116"/>
  <sheetViews>
    <sheetView workbookViewId="0">
      <selection activeCell="F7" sqref="F7"/>
    </sheetView>
  </sheetViews>
  <sheetFormatPr defaultColWidth="9.140625" defaultRowHeight="12.75"/>
  <cols>
    <col min="1" max="1" width="5.7109375" style="314" customWidth="1"/>
    <col min="2" max="2" width="4.7109375" style="314" customWidth="1"/>
    <col min="3" max="3" width="11.7109375" style="314" customWidth="1"/>
    <col min="4" max="4" width="18.7109375" style="314" customWidth="1"/>
    <col min="5" max="5" width="11.7109375" style="314" customWidth="1"/>
    <col min="6" max="7" width="21.7109375" style="314" customWidth="1"/>
    <col min="8" max="60" width="9.140625" style="534"/>
    <col min="61" max="16384" width="9.140625" style="314"/>
  </cols>
  <sheetData>
    <row r="1" spans="1:60" s="536" customFormat="1" ht="16.5" thickBot="1">
      <c r="A1" s="1524" t="s">
        <v>2565</v>
      </c>
      <c r="B1" s="1525"/>
      <c r="C1" s="1525"/>
      <c r="D1" s="1526" t="s">
        <v>34</v>
      </c>
      <c r="E1" s="1527"/>
      <c r="F1" s="1528"/>
      <c r="G1" s="533" t="str">
        <f>+'2Př'!I1</f>
        <v/>
      </c>
      <c r="H1" s="534"/>
      <c r="I1" s="534"/>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5"/>
    </row>
    <row r="2" spans="1:60" ht="24" customHeight="1">
      <c r="A2" s="1529" t="s">
        <v>2719</v>
      </c>
      <c r="B2" s="1529"/>
      <c r="C2" s="1529"/>
      <c r="D2" s="1529"/>
      <c r="E2" s="1529"/>
      <c r="F2" s="1529"/>
      <c r="G2" s="110"/>
    </row>
    <row r="3" spans="1:60" ht="36" customHeight="1">
      <c r="A3" s="1315" t="s">
        <v>157</v>
      </c>
      <c r="B3" s="1530"/>
      <c r="C3" s="1530"/>
      <c r="D3" s="1530"/>
      <c r="E3" s="1530"/>
      <c r="F3" s="1530"/>
      <c r="G3" s="1530"/>
    </row>
    <row r="4" spans="1:60" s="536" customFormat="1" ht="24" customHeight="1" thickBot="1">
      <c r="A4" s="1502" t="s">
        <v>2685</v>
      </c>
      <c r="B4" s="1460"/>
      <c r="C4" s="1460"/>
      <c r="D4" s="1460"/>
      <c r="E4" s="1460"/>
      <c r="F4" s="1460"/>
      <c r="G4" s="1460"/>
      <c r="H4" s="535"/>
      <c r="I4" s="535"/>
      <c r="J4" s="535"/>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5"/>
      <c r="AP4" s="535"/>
      <c r="AQ4" s="535"/>
      <c r="AR4" s="535"/>
      <c r="AS4" s="535"/>
      <c r="AT4" s="535"/>
      <c r="AU4" s="535"/>
      <c r="AV4" s="535"/>
      <c r="AW4" s="535"/>
      <c r="AX4" s="535"/>
      <c r="AY4" s="535"/>
      <c r="AZ4" s="535"/>
      <c r="BA4" s="535"/>
      <c r="BB4" s="535"/>
      <c r="BC4" s="535"/>
      <c r="BD4" s="535"/>
      <c r="BE4" s="535"/>
      <c r="BF4" s="535"/>
      <c r="BG4" s="535"/>
      <c r="BH4" s="535"/>
    </row>
    <row r="5" spans="1:60" s="536" customFormat="1" ht="15" customHeight="1">
      <c r="A5" s="1519"/>
      <c r="B5" s="1512"/>
      <c r="C5" s="1512"/>
      <c r="D5" s="1512"/>
      <c r="E5" s="1512"/>
      <c r="F5" s="1522" t="s">
        <v>237</v>
      </c>
      <c r="G5" s="1523"/>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c r="AM5" s="535"/>
      <c r="AN5" s="535"/>
      <c r="AO5" s="535"/>
      <c r="AP5" s="535"/>
      <c r="AQ5" s="535"/>
      <c r="AR5" s="535"/>
      <c r="AS5" s="535"/>
      <c r="AT5" s="535"/>
      <c r="AU5" s="535"/>
      <c r="AV5" s="535"/>
      <c r="AW5" s="535"/>
      <c r="AX5" s="535"/>
      <c r="AY5" s="535"/>
      <c r="AZ5" s="535"/>
      <c r="BA5" s="535"/>
      <c r="BB5" s="535"/>
      <c r="BC5" s="535"/>
      <c r="BD5" s="535"/>
      <c r="BE5" s="535"/>
      <c r="BF5" s="535"/>
      <c r="BG5" s="535"/>
      <c r="BH5" s="535"/>
    </row>
    <row r="6" spans="1:60" s="536" customFormat="1" ht="15" customHeight="1">
      <c r="A6" s="1520"/>
      <c r="B6" s="1521"/>
      <c r="C6" s="1521"/>
      <c r="D6" s="1521"/>
      <c r="E6" s="1521"/>
      <c r="F6" s="537" t="s">
        <v>137</v>
      </c>
      <c r="G6" s="538" t="s">
        <v>145</v>
      </c>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c r="AL6" s="535"/>
      <c r="AM6" s="535"/>
      <c r="AN6" s="535"/>
      <c r="AO6" s="535"/>
      <c r="AP6" s="535"/>
      <c r="AQ6" s="535"/>
      <c r="AR6" s="535"/>
      <c r="AS6" s="535"/>
      <c r="AT6" s="535"/>
      <c r="AU6" s="535"/>
      <c r="AV6" s="535"/>
      <c r="AW6" s="535"/>
      <c r="AX6" s="535"/>
      <c r="AY6" s="535"/>
      <c r="AZ6" s="535"/>
      <c r="BA6" s="535"/>
      <c r="BB6" s="535"/>
      <c r="BC6" s="535"/>
      <c r="BD6" s="535"/>
      <c r="BE6" s="535"/>
      <c r="BF6" s="535"/>
      <c r="BG6" s="535"/>
      <c r="BH6" s="535"/>
    </row>
    <row r="7" spans="1:60" s="536" customFormat="1" ht="38.1" customHeight="1">
      <c r="A7" s="39">
        <v>401</v>
      </c>
      <c r="B7" s="1509" t="s">
        <v>2666</v>
      </c>
      <c r="C7" s="1509"/>
      <c r="D7" s="1509"/>
      <c r="E7" s="1510"/>
      <c r="F7" s="595">
        <v>0</v>
      </c>
      <c r="G7" s="538"/>
      <c r="H7" s="535"/>
      <c r="I7" s="535"/>
      <c r="J7" s="535"/>
      <c r="K7" s="535"/>
      <c r="L7" s="535"/>
      <c r="M7" s="535"/>
      <c r="N7" s="535"/>
      <c r="O7" s="535"/>
      <c r="P7" s="535"/>
      <c r="Q7" s="535"/>
      <c r="R7" s="535"/>
      <c r="S7" s="535"/>
      <c r="T7" s="535"/>
      <c r="U7" s="535"/>
      <c r="V7" s="535"/>
      <c r="W7" s="535"/>
      <c r="X7" s="535"/>
      <c r="Y7" s="535"/>
      <c r="Z7" s="535"/>
      <c r="AA7" s="535"/>
      <c r="AB7" s="535"/>
      <c r="AC7" s="535"/>
      <c r="AD7" s="535"/>
      <c r="AE7" s="535"/>
      <c r="AF7" s="535"/>
      <c r="AG7" s="535"/>
      <c r="AH7" s="535"/>
      <c r="AI7" s="535"/>
      <c r="AJ7" s="535"/>
      <c r="AK7" s="535"/>
      <c r="AL7" s="535"/>
      <c r="AM7" s="535"/>
      <c r="AN7" s="535"/>
      <c r="AO7" s="535"/>
      <c r="AP7" s="535"/>
      <c r="AQ7" s="535"/>
      <c r="AR7" s="535"/>
      <c r="AS7" s="535"/>
      <c r="AT7" s="535"/>
      <c r="AU7" s="535"/>
      <c r="AV7" s="535"/>
      <c r="AW7" s="535"/>
      <c r="AX7" s="535"/>
      <c r="AY7" s="535"/>
      <c r="AZ7" s="535"/>
      <c r="BA7" s="535"/>
      <c r="BB7" s="535"/>
      <c r="BC7" s="535"/>
      <c r="BD7" s="535"/>
      <c r="BE7" s="535"/>
      <c r="BF7" s="535"/>
      <c r="BG7" s="535"/>
      <c r="BH7" s="535"/>
    </row>
    <row r="8" spans="1:60" s="536" customFormat="1" ht="48" customHeight="1">
      <c r="A8" s="39" t="s">
        <v>2667</v>
      </c>
      <c r="B8" s="1509" t="s">
        <v>2566</v>
      </c>
      <c r="C8" s="1509"/>
      <c r="D8" s="1509"/>
      <c r="E8" s="1510"/>
      <c r="F8" s="595">
        <v>0</v>
      </c>
      <c r="G8" s="541"/>
      <c r="H8" s="535"/>
      <c r="I8" s="535"/>
      <c r="J8" s="535"/>
      <c r="K8" s="535"/>
      <c r="L8" s="535"/>
      <c r="M8" s="535"/>
      <c r="N8" s="535"/>
      <c r="O8" s="535"/>
      <c r="P8" s="535"/>
      <c r="Q8" s="535"/>
      <c r="R8" s="535"/>
      <c r="S8" s="535"/>
      <c r="T8" s="535"/>
      <c r="U8" s="535"/>
      <c r="V8" s="535"/>
      <c r="W8" s="535"/>
      <c r="X8" s="535"/>
      <c r="Y8" s="535"/>
      <c r="Z8" s="535"/>
      <c r="AA8" s="535"/>
      <c r="AB8" s="535"/>
      <c r="AC8" s="535"/>
      <c r="AD8" s="535"/>
      <c r="AE8" s="535"/>
      <c r="AF8" s="535"/>
      <c r="AG8" s="535"/>
      <c r="AH8" s="535"/>
      <c r="AI8" s="535"/>
      <c r="AJ8" s="535"/>
      <c r="AK8" s="535"/>
      <c r="AL8" s="535"/>
      <c r="AM8" s="535"/>
      <c r="AN8" s="535"/>
      <c r="AO8" s="535"/>
      <c r="AP8" s="535"/>
      <c r="AQ8" s="535"/>
      <c r="AR8" s="535"/>
      <c r="AS8" s="535"/>
      <c r="AT8" s="535"/>
      <c r="AU8" s="535"/>
      <c r="AV8" s="535"/>
      <c r="AW8" s="535"/>
      <c r="AX8" s="535"/>
      <c r="AY8" s="535"/>
      <c r="AZ8" s="535"/>
      <c r="BA8" s="535"/>
      <c r="BB8" s="535"/>
      <c r="BC8" s="535"/>
      <c r="BD8" s="535"/>
      <c r="BE8" s="535"/>
      <c r="BF8" s="535"/>
      <c r="BG8" s="535"/>
      <c r="BH8" s="535"/>
    </row>
    <row r="9" spans="1:60" s="536" customFormat="1" ht="27.95" customHeight="1">
      <c r="A9" s="539">
        <v>402</v>
      </c>
      <c r="B9" s="1516" t="s">
        <v>2567</v>
      </c>
      <c r="C9" s="1516"/>
      <c r="D9" s="1516"/>
      <c r="E9" s="1517"/>
      <c r="F9" s="540">
        <v>0</v>
      </c>
      <c r="G9" s="541"/>
      <c r="H9" s="535"/>
      <c r="I9" s="535"/>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5"/>
      <c r="AJ9" s="535"/>
      <c r="AK9" s="535"/>
      <c r="AL9" s="535"/>
      <c r="AM9" s="535"/>
      <c r="AN9" s="535"/>
      <c r="AO9" s="535"/>
      <c r="AP9" s="535"/>
      <c r="AQ9" s="535"/>
      <c r="AR9" s="535"/>
      <c r="AS9" s="535"/>
      <c r="AT9" s="535"/>
      <c r="AU9" s="535"/>
      <c r="AV9" s="535"/>
      <c r="AW9" s="535"/>
      <c r="AX9" s="535"/>
      <c r="AY9" s="535"/>
      <c r="AZ9" s="535"/>
      <c r="BA9" s="535"/>
      <c r="BB9" s="535"/>
      <c r="BC9" s="535"/>
      <c r="BD9" s="535"/>
      <c r="BE9" s="535"/>
      <c r="BF9" s="535"/>
      <c r="BG9" s="535"/>
      <c r="BH9" s="535"/>
    </row>
    <row r="10" spans="1:60" s="536" customFormat="1" ht="27.95" customHeight="1">
      <c r="A10" s="539">
        <v>403</v>
      </c>
      <c r="B10" s="1516" t="s">
        <v>2568</v>
      </c>
      <c r="C10" s="1516"/>
      <c r="D10" s="1516"/>
      <c r="E10" s="1517"/>
      <c r="F10" s="540">
        <v>0</v>
      </c>
      <c r="G10" s="541"/>
      <c r="H10" s="535"/>
      <c r="I10" s="535"/>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c r="AQ10" s="535"/>
      <c r="AR10" s="535"/>
      <c r="AS10" s="535"/>
      <c r="AT10" s="535"/>
      <c r="AU10" s="535"/>
      <c r="AV10" s="535"/>
      <c r="AW10" s="535"/>
      <c r="AX10" s="535"/>
      <c r="AY10" s="535"/>
      <c r="AZ10" s="535"/>
      <c r="BA10" s="535"/>
      <c r="BB10" s="535"/>
      <c r="BC10" s="535"/>
      <c r="BD10" s="535"/>
      <c r="BE10" s="535"/>
      <c r="BF10" s="535"/>
      <c r="BG10" s="535"/>
      <c r="BH10" s="535"/>
    </row>
    <row r="11" spans="1:60" s="536" customFormat="1" ht="27.95" customHeight="1">
      <c r="A11" s="539">
        <v>404</v>
      </c>
      <c r="B11" s="1516" t="s">
        <v>2569</v>
      </c>
      <c r="C11" s="1516"/>
      <c r="D11" s="1516"/>
      <c r="E11" s="1517"/>
      <c r="F11" s="540">
        <v>0</v>
      </c>
      <c r="G11" s="541"/>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c r="AQ11" s="535"/>
      <c r="AR11" s="535"/>
      <c r="AS11" s="535"/>
      <c r="AT11" s="535"/>
      <c r="AU11" s="535"/>
      <c r="AV11" s="535"/>
      <c r="AW11" s="535"/>
      <c r="AX11" s="535"/>
      <c r="AY11" s="535"/>
      <c r="AZ11" s="535"/>
      <c r="BA11" s="535"/>
      <c r="BB11" s="535"/>
      <c r="BC11" s="535"/>
      <c r="BD11" s="535"/>
      <c r="BE11" s="535"/>
      <c r="BF11" s="535"/>
      <c r="BG11" s="535"/>
      <c r="BH11" s="535"/>
    </row>
    <row r="12" spans="1:60" s="536" customFormat="1" ht="27.95" customHeight="1">
      <c r="A12" s="539">
        <v>405</v>
      </c>
      <c r="B12" s="1516" t="s">
        <v>2570</v>
      </c>
      <c r="C12" s="1516"/>
      <c r="D12" s="1516"/>
      <c r="E12" s="1517"/>
      <c r="F12" s="540">
        <v>0</v>
      </c>
      <c r="G12" s="541"/>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c r="AR12" s="535"/>
      <c r="AS12" s="535"/>
      <c r="AT12" s="535"/>
      <c r="AU12" s="535"/>
      <c r="AV12" s="535"/>
      <c r="AW12" s="535"/>
      <c r="AX12" s="535"/>
      <c r="AY12" s="535"/>
      <c r="AZ12" s="535"/>
      <c r="BA12" s="535"/>
      <c r="BB12" s="535"/>
      <c r="BC12" s="535"/>
      <c r="BD12" s="535"/>
      <c r="BE12" s="535"/>
      <c r="BF12" s="535"/>
      <c r="BG12" s="535"/>
      <c r="BH12" s="535"/>
    </row>
    <row r="13" spans="1:60" s="536" customFormat="1" ht="38.1" customHeight="1">
      <c r="A13" s="39">
        <v>406</v>
      </c>
      <c r="B13" s="1509" t="s">
        <v>2668</v>
      </c>
      <c r="C13" s="1509"/>
      <c r="D13" s="1509"/>
      <c r="E13" s="1510"/>
      <c r="F13" s="595">
        <f>+F7+F8</f>
        <v>0</v>
      </c>
      <c r="G13" s="541"/>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35"/>
      <c r="AU13" s="535"/>
      <c r="AV13" s="535"/>
      <c r="AW13" s="535"/>
      <c r="AX13" s="535"/>
      <c r="AY13" s="535"/>
      <c r="AZ13" s="535"/>
      <c r="BA13" s="535"/>
      <c r="BB13" s="535"/>
      <c r="BC13" s="535"/>
      <c r="BD13" s="535"/>
      <c r="BE13" s="535"/>
      <c r="BF13" s="535"/>
      <c r="BG13" s="535"/>
      <c r="BH13" s="535"/>
    </row>
    <row r="14" spans="1:60" s="536" customFormat="1" ht="27.95" customHeight="1">
      <c r="A14" s="539">
        <v>407</v>
      </c>
      <c r="B14" s="1516" t="s">
        <v>2571</v>
      </c>
      <c r="C14" s="1516"/>
      <c r="D14" s="1516"/>
      <c r="E14" s="1517"/>
      <c r="F14" s="542">
        <f>+F9-F10</f>
        <v>0</v>
      </c>
      <c r="G14" s="541"/>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35"/>
      <c r="AU14" s="535"/>
      <c r="AV14" s="535"/>
      <c r="AW14" s="535"/>
      <c r="AX14" s="535"/>
      <c r="AY14" s="535"/>
      <c r="AZ14" s="535"/>
      <c r="BA14" s="535"/>
      <c r="BB14" s="535"/>
      <c r="BC14" s="535"/>
      <c r="BD14" s="535"/>
      <c r="BE14" s="535"/>
      <c r="BF14" s="535"/>
      <c r="BG14" s="535"/>
      <c r="BH14" s="535"/>
    </row>
    <row r="15" spans="1:60" s="536" customFormat="1" ht="27.95" customHeight="1">
      <c r="A15" s="539">
        <v>408</v>
      </c>
      <c r="B15" s="1516" t="s">
        <v>2572</v>
      </c>
      <c r="C15" s="1516"/>
      <c r="D15" s="1516"/>
      <c r="E15" s="1517"/>
      <c r="F15" s="542">
        <f>+F11-F12</f>
        <v>0</v>
      </c>
      <c r="G15" s="541"/>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c r="AP15" s="535"/>
      <c r="AQ15" s="535"/>
      <c r="AR15" s="535"/>
      <c r="AS15" s="535"/>
      <c r="AT15" s="535"/>
      <c r="AU15" s="535"/>
      <c r="AV15" s="535"/>
      <c r="AW15" s="535"/>
      <c r="AX15" s="535"/>
      <c r="AY15" s="535"/>
      <c r="AZ15" s="535"/>
      <c r="BA15" s="535"/>
      <c r="BB15" s="535"/>
      <c r="BC15" s="535"/>
      <c r="BD15" s="535"/>
      <c r="BE15" s="535"/>
      <c r="BF15" s="535"/>
      <c r="BG15" s="535"/>
      <c r="BH15" s="535"/>
    </row>
    <row r="16" spans="1:60" s="536" customFormat="1" ht="27.95" customHeight="1">
      <c r="A16" s="39">
        <v>409</v>
      </c>
      <c r="B16" s="1484" t="s">
        <v>2634</v>
      </c>
      <c r="C16" s="1484"/>
      <c r="D16" s="1484"/>
      <c r="E16" s="1485"/>
      <c r="F16" s="586">
        <f>+FLOOR(F13+F14+F15,100)</f>
        <v>0</v>
      </c>
      <c r="G16" s="64"/>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c r="AR16" s="535"/>
      <c r="AS16" s="535"/>
      <c r="AT16" s="535"/>
      <c r="AU16" s="535"/>
      <c r="AV16" s="535"/>
      <c r="AW16" s="535"/>
      <c r="AX16" s="535"/>
      <c r="AY16" s="535"/>
      <c r="AZ16" s="535"/>
      <c r="BA16" s="535"/>
      <c r="BB16" s="535"/>
      <c r="BC16" s="535"/>
      <c r="BD16" s="535"/>
      <c r="BE16" s="535"/>
      <c r="BF16" s="535"/>
      <c r="BG16" s="535"/>
      <c r="BH16" s="535"/>
    </row>
    <row r="17" spans="1:60" s="536" customFormat="1" ht="27.95" customHeight="1">
      <c r="A17" s="39">
        <v>410</v>
      </c>
      <c r="B17" s="1518" t="s">
        <v>2635</v>
      </c>
      <c r="C17" s="1484"/>
      <c r="D17" s="1484"/>
      <c r="E17" s="1485"/>
      <c r="F17" s="586">
        <f>+F16*0.15</f>
        <v>0</v>
      </c>
      <c r="G17" s="64"/>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c r="AR17" s="535"/>
      <c r="AS17" s="535"/>
      <c r="AT17" s="535"/>
      <c r="AU17" s="535"/>
      <c r="AV17" s="535"/>
      <c r="AW17" s="535"/>
      <c r="AX17" s="535"/>
      <c r="AY17" s="535"/>
      <c r="AZ17" s="535"/>
      <c r="BA17" s="535"/>
      <c r="BB17" s="535"/>
      <c r="BC17" s="535"/>
      <c r="BD17" s="535"/>
      <c r="BE17" s="535"/>
      <c r="BF17" s="535"/>
      <c r="BG17" s="535"/>
      <c r="BH17" s="535"/>
    </row>
    <row r="18" spans="1:60" s="536" customFormat="1" ht="27.95" customHeight="1">
      <c r="A18" s="39">
        <v>411</v>
      </c>
      <c r="B18" s="1484" t="s">
        <v>2573</v>
      </c>
      <c r="C18" s="1484"/>
      <c r="D18" s="1484"/>
      <c r="E18" s="1485"/>
      <c r="F18" s="540">
        <v>0</v>
      </c>
      <c r="G18" s="541"/>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AR18" s="535"/>
      <c r="AS18" s="535"/>
      <c r="AT18" s="535"/>
      <c r="AU18" s="535"/>
      <c r="AV18" s="535"/>
      <c r="AW18" s="535"/>
      <c r="AX18" s="535"/>
      <c r="AY18" s="535"/>
      <c r="AZ18" s="535"/>
      <c r="BA18" s="535"/>
      <c r="BB18" s="535"/>
      <c r="BC18" s="535"/>
      <c r="BD18" s="535"/>
      <c r="BE18" s="535"/>
      <c r="BF18" s="535"/>
      <c r="BG18" s="535"/>
      <c r="BH18" s="535"/>
    </row>
    <row r="19" spans="1:60" s="536" customFormat="1" ht="27.95" customHeight="1">
      <c r="A19" s="39">
        <v>412</v>
      </c>
      <c r="B19" s="1484" t="s">
        <v>2636</v>
      </c>
      <c r="C19" s="1484"/>
      <c r="D19" s="1484"/>
      <c r="E19" s="1485"/>
      <c r="F19" s="540">
        <v>0</v>
      </c>
      <c r="G19" s="541"/>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c r="AQ19" s="535"/>
      <c r="AR19" s="535"/>
      <c r="AS19" s="535"/>
      <c r="AT19" s="535"/>
      <c r="AU19" s="535"/>
      <c r="AV19" s="535"/>
      <c r="AW19" s="535"/>
      <c r="AX19" s="535"/>
      <c r="AY19" s="535"/>
      <c r="AZ19" s="535"/>
      <c r="BA19" s="535"/>
      <c r="BB19" s="535"/>
      <c r="BC19" s="535"/>
      <c r="BD19" s="535"/>
      <c r="BE19" s="535"/>
      <c r="BF19" s="535"/>
      <c r="BG19" s="535"/>
      <c r="BH19" s="535"/>
    </row>
    <row r="20" spans="1:60" s="536" customFormat="1" ht="27.95" customHeight="1">
      <c r="A20" s="39">
        <v>413</v>
      </c>
      <c r="B20" s="1484" t="s">
        <v>2637</v>
      </c>
      <c r="C20" s="1484"/>
      <c r="D20" s="1484"/>
      <c r="E20" s="1485"/>
      <c r="F20" s="542">
        <f>+ROUND(MIN(F19,0.15*F18),0)</f>
        <v>0</v>
      </c>
      <c r="G20" s="541"/>
      <c r="H20" s="535"/>
      <c r="I20" s="535"/>
      <c r="J20" s="535"/>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AR20" s="535"/>
      <c r="AS20" s="535"/>
      <c r="AT20" s="535"/>
      <c r="AU20" s="535"/>
      <c r="AV20" s="535"/>
      <c r="AW20" s="535"/>
      <c r="AX20" s="535"/>
      <c r="AY20" s="535"/>
      <c r="AZ20" s="535"/>
      <c r="BA20" s="535"/>
      <c r="BB20" s="535"/>
      <c r="BC20" s="535"/>
      <c r="BD20" s="535"/>
      <c r="BE20" s="535"/>
      <c r="BF20" s="535"/>
      <c r="BG20" s="535"/>
      <c r="BH20" s="535"/>
    </row>
    <row r="21" spans="1:60" s="536" customFormat="1" ht="27.95" customHeight="1" thickBot="1">
      <c r="A21" s="39">
        <v>414</v>
      </c>
      <c r="B21" s="1484" t="s">
        <v>2638</v>
      </c>
      <c r="C21" s="1484"/>
      <c r="D21" s="1484"/>
      <c r="E21" s="1485"/>
      <c r="F21" s="542">
        <f>+F17-F20</f>
        <v>0</v>
      </c>
      <c r="G21" s="541"/>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5"/>
      <c r="AY21" s="535"/>
      <c r="AZ21" s="535"/>
      <c r="BA21" s="535"/>
      <c r="BB21" s="535"/>
      <c r="BC21" s="535"/>
      <c r="BD21" s="535"/>
      <c r="BE21" s="535"/>
      <c r="BF21" s="535"/>
      <c r="BG21" s="535"/>
      <c r="BH21" s="535"/>
    </row>
    <row r="22" spans="1:60" ht="170.1" customHeight="1">
      <c r="A22" s="1511"/>
      <c r="B22" s="1512"/>
      <c r="C22" s="1512"/>
      <c r="D22" s="1512"/>
      <c r="E22" s="1512"/>
      <c r="F22" s="1512"/>
      <c r="G22" s="1512"/>
    </row>
    <row r="23" spans="1:60" ht="15.95" customHeight="1">
      <c r="A23" s="1513" t="str">
        <f>+'DAP1'!A46</f>
        <v>Formulář zpracovala ASPEKT HM, daňová, účetní a auditorská kancelář, www.danovapriznani.cz, business.center.cz</v>
      </c>
      <c r="B23" s="1513"/>
      <c r="C23" s="1513"/>
      <c r="D23" s="1513"/>
      <c r="E23" s="1513"/>
      <c r="F23" s="1513"/>
      <c r="G23" s="1513"/>
    </row>
    <row r="24" spans="1:60" s="544" customFormat="1" ht="12" customHeight="1">
      <c r="A24" s="1498" t="s">
        <v>2721</v>
      </c>
      <c r="B24" s="1498"/>
      <c r="C24" s="1498"/>
      <c r="D24" s="1498"/>
      <c r="E24" s="1498"/>
      <c r="F24" s="1498"/>
      <c r="G24" s="1498"/>
      <c r="H24" s="543"/>
      <c r="I24" s="543"/>
      <c r="J24" s="543"/>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c r="AL24" s="543"/>
      <c r="AM24" s="543"/>
      <c r="AN24" s="543"/>
      <c r="AO24" s="543"/>
      <c r="AP24" s="543"/>
      <c r="AQ24" s="543"/>
      <c r="AR24" s="543"/>
      <c r="AS24" s="543"/>
      <c r="AT24" s="543"/>
      <c r="AU24" s="543"/>
      <c r="AV24" s="543"/>
      <c r="AW24" s="543"/>
      <c r="AX24" s="543"/>
      <c r="AY24" s="543"/>
      <c r="AZ24" s="543"/>
      <c r="BA24" s="543"/>
      <c r="BB24" s="543"/>
      <c r="BC24" s="543"/>
      <c r="BD24" s="543"/>
      <c r="BE24" s="543"/>
      <c r="BF24" s="543"/>
      <c r="BG24" s="543"/>
      <c r="BH24" s="543"/>
    </row>
    <row r="25" spans="1:60">
      <c r="A25" s="1514" t="s">
        <v>275</v>
      </c>
      <c r="B25" s="1514"/>
      <c r="C25" s="1514"/>
      <c r="D25" s="1514"/>
      <c r="E25" s="1515"/>
      <c r="F25" s="1515"/>
      <c r="G25" s="1515"/>
    </row>
    <row r="26" spans="1:60">
      <c r="A26" s="534"/>
      <c r="B26" s="534"/>
      <c r="C26" s="534"/>
      <c r="D26" s="534"/>
      <c r="E26" s="534"/>
      <c r="F26" s="534"/>
      <c r="G26" s="534"/>
    </row>
    <row r="27" spans="1:60">
      <c r="A27" s="534"/>
      <c r="B27" s="534"/>
      <c r="C27" s="534"/>
      <c r="D27" s="534"/>
      <c r="E27" s="534"/>
      <c r="F27" s="534"/>
      <c r="G27" s="534"/>
    </row>
    <row r="28" spans="1:60">
      <c r="A28" s="534"/>
      <c r="B28" s="534"/>
      <c r="C28" s="534"/>
      <c r="D28" s="534"/>
      <c r="E28" s="534"/>
      <c r="F28" s="534"/>
      <c r="G28" s="534"/>
    </row>
    <row r="29" spans="1:60">
      <c r="A29" s="534"/>
      <c r="B29" s="534"/>
      <c r="C29" s="534"/>
      <c r="D29" s="534"/>
      <c r="E29" s="534"/>
      <c r="F29" s="534"/>
      <c r="G29" s="534"/>
    </row>
    <row r="30" spans="1:60">
      <c r="A30" s="534"/>
      <c r="B30" s="534"/>
      <c r="C30" s="534"/>
      <c r="D30" s="534"/>
      <c r="E30" s="534"/>
      <c r="F30" s="534"/>
      <c r="G30" s="534"/>
    </row>
    <row r="31" spans="1:60">
      <c r="A31" s="534"/>
      <c r="B31" s="534"/>
      <c r="C31" s="534"/>
      <c r="D31" s="534"/>
      <c r="E31" s="534"/>
      <c r="F31" s="534"/>
      <c r="G31" s="534"/>
    </row>
    <row r="32" spans="1:60">
      <c r="A32" s="534"/>
      <c r="B32" s="534"/>
      <c r="C32" s="534"/>
      <c r="D32" s="534"/>
      <c r="E32" s="534"/>
      <c r="F32" s="534"/>
      <c r="G32" s="534"/>
    </row>
    <row r="33" spans="1:7">
      <c r="A33" s="534"/>
      <c r="B33" s="534"/>
      <c r="C33" s="534"/>
      <c r="D33" s="534"/>
      <c r="E33" s="534"/>
      <c r="F33" s="534"/>
      <c r="G33" s="534"/>
    </row>
    <row r="34" spans="1:7">
      <c r="A34" s="534"/>
      <c r="B34" s="534"/>
      <c r="C34" s="534"/>
      <c r="D34" s="534"/>
      <c r="E34" s="534"/>
      <c r="F34" s="534"/>
      <c r="G34" s="534"/>
    </row>
    <row r="35" spans="1:7">
      <c r="A35" s="534"/>
      <c r="B35" s="534"/>
      <c r="C35" s="534"/>
      <c r="D35" s="534"/>
      <c r="E35" s="534"/>
      <c r="F35" s="534"/>
      <c r="G35" s="534"/>
    </row>
    <row r="36" spans="1:7">
      <c r="A36" s="534"/>
      <c r="B36" s="534"/>
      <c r="C36" s="534"/>
      <c r="D36" s="534"/>
      <c r="E36" s="534"/>
      <c r="F36" s="534"/>
      <c r="G36" s="534"/>
    </row>
    <row r="37" spans="1:7">
      <c r="A37" s="534"/>
      <c r="B37" s="534"/>
      <c r="C37" s="534"/>
      <c r="D37" s="534"/>
      <c r="E37" s="534"/>
      <c r="F37" s="534"/>
      <c r="G37" s="534"/>
    </row>
    <row r="38" spans="1:7">
      <c r="A38" s="534"/>
      <c r="B38" s="534"/>
      <c r="C38" s="534"/>
      <c r="D38" s="534"/>
      <c r="E38" s="534"/>
      <c r="F38" s="534"/>
      <c r="G38" s="534"/>
    </row>
    <row r="39" spans="1:7">
      <c r="A39" s="534"/>
      <c r="B39" s="534"/>
      <c r="C39" s="534"/>
      <c r="D39" s="534"/>
      <c r="E39" s="534"/>
      <c r="F39" s="534"/>
      <c r="G39" s="534"/>
    </row>
    <row r="40" spans="1:7">
      <c r="A40" s="534"/>
      <c r="B40" s="534"/>
      <c r="C40" s="534"/>
      <c r="D40" s="534"/>
      <c r="E40" s="534"/>
      <c r="F40" s="534"/>
      <c r="G40" s="534"/>
    </row>
    <row r="41" spans="1:7">
      <c r="A41" s="534"/>
      <c r="B41" s="534"/>
      <c r="C41" s="534"/>
      <c r="D41" s="534"/>
      <c r="E41" s="534"/>
      <c r="F41" s="534"/>
      <c r="G41" s="534"/>
    </row>
    <row r="42" spans="1:7">
      <c r="A42" s="534"/>
      <c r="B42" s="534"/>
      <c r="C42" s="534"/>
      <c r="D42" s="534"/>
      <c r="E42" s="534"/>
      <c r="F42" s="534"/>
      <c r="G42" s="534"/>
    </row>
    <row r="43" spans="1:7">
      <c r="A43" s="534"/>
      <c r="B43" s="534"/>
      <c r="C43" s="534"/>
      <c r="D43" s="534"/>
      <c r="E43" s="534"/>
      <c r="F43" s="534"/>
      <c r="G43" s="534"/>
    </row>
    <row r="44" spans="1:7">
      <c r="A44" s="534"/>
      <c r="B44" s="534"/>
      <c r="C44" s="534"/>
      <c r="D44" s="534"/>
      <c r="E44" s="534"/>
      <c r="F44" s="534"/>
      <c r="G44" s="534"/>
    </row>
    <row r="45" spans="1:7">
      <c r="A45" s="534"/>
      <c r="B45" s="534"/>
      <c r="C45" s="534"/>
      <c r="D45" s="534"/>
      <c r="E45" s="534"/>
      <c r="F45" s="534"/>
      <c r="G45" s="534"/>
    </row>
    <row r="46" spans="1:7">
      <c r="A46" s="534"/>
      <c r="B46" s="534"/>
      <c r="C46" s="534"/>
      <c r="D46" s="534"/>
      <c r="E46" s="534"/>
      <c r="F46" s="534"/>
      <c r="G46" s="534"/>
    </row>
    <row r="47" spans="1:7">
      <c r="A47" s="534"/>
      <c r="B47" s="534"/>
      <c r="C47" s="534"/>
      <c r="D47" s="534"/>
      <c r="E47" s="534"/>
      <c r="F47" s="534"/>
      <c r="G47" s="534"/>
    </row>
    <row r="48" spans="1:7">
      <c r="A48" s="534"/>
      <c r="B48" s="534"/>
      <c r="C48" s="534"/>
      <c r="D48" s="534"/>
      <c r="E48" s="534"/>
      <c r="F48" s="534"/>
      <c r="G48" s="534"/>
    </row>
    <row r="49" spans="1:7">
      <c r="A49" s="534"/>
      <c r="B49" s="534"/>
      <c r="C49" s="534"/>
      <c r="D49" s="534"/>
      <c r="E49" s="534"/>
      <c r="F49" s="534"/>
      <c r="G49" s="534"/>
    </row>
    <row r="50" spans="1:7">
      <c r="A50" s="534"/>
      <c r="B50" s="534"/>
      <c r="C50" s="534"/>
      <c r="D50" s="534"/>
      <c r="E50" s="534"/>
      <c r="F50" s="534"/>
      <c r="G50" s="534"/>
    </row>
    <row r="51" spans="1:7">
      <c r="A51" s="534"/>
      <c r="B51" s="534"/>
      <c r="C51" s="534"/>
      <c r="D51" s="534"/>
      <c r="E51" s="534"/>
      <c r="F51" s="534"/>
      <c r="G51" s="534"/>
    </row>
    <row r="52" spans="1:7">
      <c r="A52" s="534"/>
      <c r="B52" s="534"/>
      <c r="C52" s="534"/>
      <c r="D52" s="534"/>
      <c r="E52" s="534"/>
      <c r="F52" s="534"/>
      <c r="G52" s="534"/>
    </row>
    <row r="53" spans="1:7">
      <c r="A53" s="534"/>
      <c r="B53" s="534"/>
      <c r="C53" s="534"/>
      <c r="D53" s="534"/>
      <c r="E53" s="534"/>
      <c r="F53" s="534"/>
      <c r="G53" s="534"/>
    </row>
    <row r="54" spans="1:7">
      <c r="A54" s="534"/>
      <c r="B54" s="534"/>
      <c r="C54" s="534"/>
      <c r="D54" s="534"/>
      <c r="E54" s="534"/>
      <c r="F54" s="534"/>
      <c r="G54" s="534"/>
    </row>
    <row r="55" spans="1:7">
      <c r="A55" s="534"/>
      <c r="B55" s="534"/>
      <c r="C55" s="534"/>
      <c r="D55" s="534"/>
      <c r="E55" s="534"/>
      <c r="F55" s="534"/>
      <c r="G55" s="534"/>
    </row>
    <row r="56" spans="1:7">
      <c r="A56" s="534"/>
      <c r="B56" s="534"/>
      <c r="C56" s="534"/>
      <c r="D56" s="534"/>
      <c r="E56" s="534"/>
      <c r="F56" s="534"/>
      <c r="G56" s="534"/>
    </row>
    <row r="57" spans="1:7">
      <c r="A57" s="534"/>
      <c r="B57" s="534"/>
      <c r="C57" s="534"/>
      <c r="D57" s="534"/>
      <c r="E57" s="534"/>
      <c r="F57" s="534"/>
      <c r="G57" s="534"/>
    </row>
    <row r="58" spans="1:7">
      <c r="A58" s="534"/>
      <c r="B58" s="534"/>
      <c r="C58" s="534"/>
      <c r="D58" s="534"/>
      <c r="E58" s="534"/>
      <c r="F58" s="534"/>
      <c r="G58" s="534"/>
    </row>
    <row r="59" spans="1:7">
      <c r="A59" s="534"/>
      <c r="B59" s="534"/>
      <c r="C59" s="534"/>
      <c r="D59" s="534"/>
      <c r="E59" s="534"/>
      <c r="F59" s="534"/>
      <c r="G59" s="534"/>
    </row>
    <row r="60" spans="1:7">
      <c r="A60" s="534"/>
      <c r="B60" s="534"/>
      <c r="C60" s="534"/>
      <c r="D60" s="534"/>
      <c r="E60" s="534"/>
      <c r="F60" s="534"/>
      <c r="G60" s="534"/>
    </row>
    <row r="61" spans="1:7">
      <c r="A61" s="534"/>
      <c r="B61" s="534"/>
      <c r="C61" s="534"/>
      <c r="D61" s="534"/>
      <c r="E61" s="534"/>
      <c r="F61" s="534"/>
      <c r="G61" s="534"/>
    </row>
    <row r="62" spans="1:7">
      <c r="A62" s="534"/>
      <c r="B62" s="534"/>
      <c r="C62" s="534"/>
      <c r="D62" s="534"/>
      <c r="E62" s="534"/>
      <c r="F62" s="534"/>
      <c r="G62" s="534"/>
    </row>
    <row r="63" spans="1:7">
      <c r="A63" s="534"/>
      <c r="B63" s="534"/>
      <c r="C63" s="534"/>
      <c r="D63" s="534"/>
      <c r="E63" s="534"/>
      <c r="F63" s="534"/>
      <c r="G63" s="534"/>
    </row>
    <row r="64" spans="1:7">
      <c r="A64" s="534"/>
      <c r="B64" s="534"/>
      <c r="C64" s="534"/>
      <c r="D64" s="534"/>
      <c r="E64" s="534"/>
      <c r="F64" s="534"/>
      <c r="G64" s="534"/>
    </row>
    <row r="65" s="534" customFormat="1"/>
    <row r="66" s="534" customFormat="1"/>
    <row r="67" s="534" customFormat="1"/>
    <row r="68" s="534" customFormat="1"/>
    <row r="69" s="534" customFormat="1"/>
    <row r="70" s="534" customFormat="1"/>
    <row r="71" s="534" customFormat="1"/>
    <row r="72" s="534" customFormat="1"/>
    <row r="73" s="534" customFormat="1"/>
    <row r="74" s="534" customFormat="1"/>
    <row r="75" s="534" customFormat="1"/>
    <row r="76" s="534" customFormat="1"/>
    <row r="77" s="534" customFormat="1"/>
    <row r="78" s="534" customFormat="1"/>
    <row r="79" s="534" customFormat="1"/>
    <row r="80" s="534" customFormat="1"/>
    <row r="81" s="534" customFormat="1"/>
    <row r="82" s="534" customFormat="1"/>
    <row r="83" s="534" customFormat="1"/>
    <row r="84" s="534" customFormat="1"/>
    <row r="85" s="534" customFormat="1"/>
    <row r="86" s="534" customFormat="1"/>
    <row r="87" s="534" customFormat="1"/>
    <row r="88" s="534" customFormat="1"/>
    <row r="89" s="534" customFormat="1"/>
    <row r="90" s="534" customFormat="1"/>
    <row r="91" s="534" customFormat="1"/>
    <row r="92" s="534" customFormat="1"/>
    <row r="93" s="534" customFormat="1"/>
    <row r="94" s="534" customFormat="1"/>
    <row r="95" s="534" customFormat="1"/>
    <row r="96" s="534" customFormat="1"/>
    <row r="97" s="534" customFormat="1"/>
    <row r="98" s="534" customFormat="1"/>
    <row r="99" s="534" customFormat="1"/>
    <row r="100" s="534" customFormat="1"/>
    <row r="101" s="534" customFormat="1"/>
    <row r="102" s="534" customFormat="1"/>
    <row r="103" s="534" customFormat="1"/>
    <row r="104" s="534" customFormat="1"/>
    <row r="105" s="534" customFormat="1"/>
    <row r="106" s="534" customFormat="1"/>
    <row r="107" s="534" customFormat="1"/>
    <row r="108" s="534" customFormat="1"/>
    <row r="109" s="534" customFormat="1"/>
    <row r="110" s="534" customFormat="1"/>
    <row r="111" s="534" customFormat="1"/>
    <row r="112" s="534" customFormat="1"/>
    <row r="113" s="534" customFormat="1"/>
    <row r="114" s="534" customFormat="1"/>
    <row r="115" s="534" customFormat="1"/>
    <row r="116" s="534" customFormat="1"/>
  </sheetData>
  <sheetProtection algorithmName="SHA-512" hashValue="/wRbFFJznpwGXiD+SG546IguKCSXxa4Kz8rVJCcupYv3YlSkzO9Xy5NZpnuuybbHlXdjbMPWAJCw/rj0f6eORw==" saltValue="dlox4mJu+IK6CCCAoI3oZQ==" spinCount="100000" sheet="1" objects="1" scenarios="1"/>
  <mergeCells count="26">
    <mergeCell ref="A5:E6"/>
    <mergeCell ref="F5:G5"/>
    <mergeCell ref="A1:C1"/>
    <mergeCell ref="D1:F1"/>
    <mergeCell ref="A2:F2"/>
    <mergeCell ref="A3:G3"/>
    <mergeCell ref="A4:G4"/>
    <mergeCell ref="A25:G25"/>
    <mergeCell ref="B20:E20"/>
    <mergeCell ref="B8:E8"/>
    <mergeCell ref="B9:E9"/>
    <mergeCell ref="B10:E10"/>
    <mergeCell ref="B11:E11"/>
    <mergeCell ref="B12:E12"/>
    <mergeCell ref="B13:E13"/>
    <mergeCell ref="B14:E14"/>
    <mergeCell ref="B15:E15"/>
    <mergeCell ref="B17:E17"/>
    <mergeCell ref="B18:E18"/>
    <mergeCell ref="B19:E19"/>
    <mergeCell ref="B16:E16"/>
    <mergeCell ref="B7:E7"/>
    <mergeCell ref="B21:E21"/>
    <mergeCell ref="A22:G22"/>
    <mergeCell ref="A23:G23"/>
    <mergeCell ref="A24:G24"/>
  </mergeCell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tabColor rgb="FFFFCCFF"/>
    <pageSetUpPr fitToPage="1"/>
  </sheetPr>
  <dimension ref="A1:BH114"/>
  <sheetViews>
    <sheetView workbookViewId="0">
      <selection activeCell="F12" sqref="F12"/>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2"/>
  </cols>
  <sheetData>
    <row r="1" spans="1:60" s="102" customFormat="1" ht="16.5" thickBot="1">
      <c r="A1" s="1289"/>
      <c r="B1" s="814"/>
      <c r="C1" s="814"/>
      <c r="D1" s="1458" t="s">
        <v>171</v>
      </c>
      <c r="E1" s="902"/>
      <c r="F1" s="1240"/>
      <c r="G1" s="251">
        <v>1</v>
      </c>
      <c r="H1" s="72"/>
      <c r="I1" s="72"/>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1:60" ht="24" customHeight="1">
      <c r="A2" s="1288"/>
      <c r="B2" s="1288"/>
      <c r="C2" s="1288"/>
      <c r="D2" s="1288"/>
      <c r="E2" s="1288"/>
      <c r="F2" s="1288"/>
      <c r="G2" s="110"/>
    </row>
    <row r="3" spans="1:60" ht="36" customHeight="1">
      <c r="A3" s="1542" t="s">
        <v>172</v>
      </c>
      <c r="B3" s="1543"/>
      <c r="C3" s="1543"/>
      <c r="D3" s="1543"/>
      <c r="E3" s="1543"/>
      <c r="F3" s="1543"/>
      <c r="G3" s="1543"/>
    </row>
    <row r="4" spans="1:60" s="102" customFormat="1" ht="18" customHeight="1">
      <c r="A4" s="1544" t="s">
        <v>173</v>
      </c>
      <c r="B4" s="1545"/>
      <c r="C4" s="1545"/>
      <c r="D4" s="1545"/>
      <c r="E4" s="1545"/>
      <c r="F4" s="1545"/>
      <c r="G4" s="1545"/>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row>
    <row r="5" spans="1:60" ht="18" customHeight="1">
      <c r="A5" s="1546" t="s">
        <v>2407</v>
      </c>
      <c r="B5" s="1547"/>
      <c r="C5" s="1547"/>
      <c r="D5" s="1547"/>
      <c r="E5" s="1547"/>
      <c r="F5" s="1547"/>
      <c r="G5" s="1547"/>
    </row>
    <row r="6" spans="1:60" ht="18" customHeight="1">
      <c r="A6" s="1548" t="s">
        <v>98</v>
      </c>
      <c r="B6" s="1549"/>
      <c r="C6" s="1549"/>
      <c r="D6" s="1549"/>
      <c r="E6" s="1549"/>
      <c r="F6" s="1549"/>
      <c r="G6" s="1549"/>
    </row>
    <row r="7" spans="1:60" ht="18" customHeight="1">
      <c r="A7" s="1531"/>
      <c r="B7" s="1532"/>
      <c r="C7" s="1532"/>
      <c r="D7" s="1532"/>
      <c r="E7" s="1532"/>
      <c r="F7" s="1532"/>
      <c r="G7" s="1532"/>
    </row>
    <row r="8" spans="1:60" ht="24" customHeight="1">
      <c r="A8" s="1500" t="s">
        <v>2406</v>
      </c>
      <c r="B8" s="1240"/>
      <c r="C8" s="137"/>
      <c r="D8" s="1506"/>
      <c r="E8" s="923"/>
      <c r="F8" s="923"/>
      <c r="G8" s="923"/>
    </row>
    <row r="9" spans="1:60" ht="8.1" customHeight="1" thickBot="1">
      <c r="A9" s="1507"/>
      <c r="B9" s="1508"/>
      <c r="C9" s="1508"/>
      <c r="D9" s="1508"/>
      <c r="E9" s="1508"/>
      <c r="F9" s="1508"/>
      <c r="G9" s="1508"/>
    </row>
    <row r="10" spans="1:60" ht="15" customHeight="1">
      <c r="A10" s="1538"/>
      <c r="B10" s="921"/>
      <c r="C10" s="921"/>
      <c r="D10" s="921"/>
      <c r="E10" s="1539"/>
      <c r="F10" s="1540" t="s">
        <v>237</v>
      </c>
      <c r="G10" s="1541"/>
    </row>
    <row r="11" spans="1:60" ht="15" customHeight="1">
      <c r="A11" s="1490"/>
      <c r="B11" s="862"/>
      <c r="C11" s="862"/>
      <c r="D11" s="862"/>
      <c r="E11" s="863"/>
      <c r="F11" s="73" t="s">
        <v>137</v>
      </c>
      <c r="G11" s="83" t="s">
        <v>145</v>
      </c>
    </row>
    <row r="12" spans="1:60" ht="24" customHeight="1">
      <c r="A12" s="248">
        <v>321</v>
      </c>
      <c r="B12" s="1484" t="s">
        <v>230</v>
      </c>
      <c r="C12" s="1484"/>
      <c r="D12" s="1484"/>
      <c r="E12" s="1485"/>
      <c r="F12" s="104">
        <v>0</v>
      </c>
      <c r="G12" s="64"/>
    </row>
    <row r="13" spans="1:60" ht="24" customHeight="1">
      <c r="A13" s="248">
        <v>322</v>
      </c>
      <c r="B13" s="1484" t="s">
        <v>231</v>
      </c>
      <c r="C13" s="1484"/>
      <c r="D13" s="1484"/>
      <c r="E13" s="1485"/>
      <c r="F13" s="104">
        <v>0</v>
      </c>
      <c r="G13" s="64"/>
    </row>
    <row r="14" spans="1:60" ht="24" customHeight="1">
      <c r="A14" s="248">
        <v>323</v>
      </c>
      <c r="B14" s="1484" t="s">
        <v>103</v>
      </c>
      <c r="C14" s="1484"/>
      <c r="D14" s="1484"/>
      <c r="E14" s="1485"/>
      <c r="F14" s="104">
        <v>0</v>
      </c>
      <c r="G14" s="64"/>
    </row>
    <row r="15" spans="1:60" ht="24" customHeight="1">
      <c r="A15" s="248">
        <v>324</v>
      </c>
      <c r="B15" s="1484" t="s">
        <v>2574</v>
      </c>
      <c r="C15" s="1484"/>
      <c r="D15" s="1484"/>
      <c r="E15" s="1485"/>
      <c r="F15" s="159">
        <f>ROUND(+IF(+IF(IF('DAP2'!E16=0,0,(F12-F13)/'DAP2'!E16)&lt;0,0,IF('DAP2'!E16=0,0,(F12-F13)/'DAP2'!E16))&gt;1,1,+IF(IF('DAP2'!E16=0,0,(F12-F13)/'DAP2'!E16)&lt;0,0,IF('DAP2'!E16=0,0,(F12-F13)/'DAP2'!E16))),4)</f>
        <v>0</v>
      </c>
      <c r="G15" s="64"/>
    </row>
    <row r="16" spans="1:60" ht="24" customHeight="1">
      <c r="A16" s="248">
        <v>325</v>
      </c>
      <c r="B16" s="1484" t="s">
        <v>2575</v>
      </c>
      <c r="C16" s="1484"/>
      <c r="D16" s="1484"/>
      <c r="E16" s="1485"/>
      <c r="F16" s="257">
        <f>ROUND((+'DAP2'!F34+'DAP2'!F37)*F15,2)</f>
        <v>0</v>
      </c>
      <c r="G16" s="64"/>
    </row>
    <row r="17" spans="1:60" ht="24" customHeight="1" thickBot="1">
      <c r="A17" s="249">
        <v>326</v>
      </c>
      <c r="B17" s="1496" t="s">
        <v>132</v>
      </c>
      <c r="C17" s="1496"/>
      <c r="D17" s="1496"/>
      <c r="E17" s="1497"/>
      <c r="F17" s="258">
        <f>+MIN(F14,F16)</f>
        <v>0</v>
      </c>
      <c r="G17" s="81"/>
    </row>
    <row r="18" spans="1:60" ht="24" customHeight="1" thickBot="1">
      <c r="A18" s="250">
        <v>327</v>
      </c>
      <c r="B18" s="1536" t="s">
        <v>2408</v>
      </c>
      <c r="C18" s="1536"/>
      <c r="D18" s="1536"/>
      <c r="E18" s="1537"/>
      <c r="F18" s="259">
        <f>+F14-F17</f>
        <v>0</v>
      </c>
      <c r="G18" s="82"/>
    </row>
    <row r="19" spans="1:60" ht="24" customHeight="1">
      <c r="A19" s="1533" t="s">
        <v>2297</v>
      </c>
      <c r="B19" s="1534"/>
      <c r="C19" s="1534"/>
      <c r="D19" s="1534"/>
      <c r="E19" s="1534"/>
      <c r="F19" s="1534"/>
      <c r="G19" s="1534"/>
    </row>
    <row r="20" spans="1:60" ht="330" customHeight="1">
      <c r="A20" s="1535"/>
      <c r="B20" s="814"/>
      <c r="C20" s="814"/>
      <c r="D20" s="814"/>
      <c r="E20" s="814"/>
      <c r="F20" s="814"/>
      <c r="G20" s="814"/>
    </row>
    <row r="21" spans="1:60" ht="15.95" customHeight="1">
      <c r="A21" s="1499" t="str">
        <f>+'DAP1'!A46</f>
        <v>Formulář zpracovala ASPEKT HM, daňová, účetní a auditorská kancelář, www.danovapriznani.cz, business.center.cz</v>
      </c>
      <c r="B21" s="1499"/>
      <c r="C21" s="1499"/>
      <c r="D21" s="1499"/>
      <c r="E21" s="1499"/>
      <c r="F21" s="1499"/>
      <c r="G21" s="1499"/>
    </row>
    <row r="22" spans="1:60" s="158" customFormat="1" ht="12" customHeight="1">
      <c r="A22" s="1498" t="s">
        <v>2576</v>
      </c>
      <c r="B22" s="1498"/>
      <c r="C22" s="1498"/>
      <c r="D22" s="1498"/>
      <c r="E22" s="1498"/>
      <c r="F22" s="1498"/>
      <c r="G22" s="1498"/>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row>
    <row r="23" spans="1:60">
      <c r="A23" s="1494" t="s">
        <v>275</v>
      </c>
      <c r="B23" s="1494"/>
      <c r="C23" s="1494"/>
      <c r="D23" s="1494"/>
      <c r="E23" s="1495"/>
      <c r="F23" s="1495"/>
      <c r="G23" s="1495"/>
    </row>
    <row r="24" spans="1:60">
      <c r="A24" s="72"/>
      <c r="B24" s="72"/>
      <c r="C24" s="72"/>
      <c r="D24" s="72"/>
      <c r="E24" s="72"/>
      <c r="F24" s="72"/>
      <c r="G24" s="72"/>
    </row>
    <row r="25" spans="1:60">
      <c r="A25" s="72"/>
      <c r="B25" s="72"/>
      <c r="C25" s="72"/>
      <c r="D25" s="72"/>
      <c r="E25" s="72"/>
      <c r="F25" s="72"/>
      <c r="G25" s="72"/>
    </row>
    <row r="26" spans="1:60">
      <c r="A26" s="72"/>
      <c r="B26" s="72"/>
      <c r="C26" s="72"/>
      <c r="D26" s="72"/>
      <c r="E26" s="72"/>
      <c r="F26" s="72"/>
      <c r="G26" s="72"/>
    </row>
    <row r="27" spans="1:60">
      <c r="A27" s="72"/>
      <c r="B27" s="72"/>
      <c r="C27" s="72"/>
      <c r="D27" s="72"/>
      <c r="E27" s="72"/>
      <c r="F27" s="72"/>
      <c r="G27" s="72"/>
    </row>
    <row r="28" spans="1:60">
      <c r="A28" s="72"/>
      <c r="B28" s="72"/>
      <c r="C28" s="72"/>
      <c r="D28" s="72"/>
      <c r="E28" s="72"/>
      <c r="F28" s="72"/>
      <c r="G28" s="72"/>
    </row>
    <row r="29" spans="1:60">
      <c r="A29" s="72"/>
      <c r="B29" s="72"/>
      <c r="C29" s="72"/>
      <c r="D29" s="72"/>
      <c r="E29" s="72"/>
      <c r="F29" s="72"/>
      <c r="G29" s="72"/>
    </row>
    <row r="30" spans="1:60">
      <c r="A30" s="72"/>
      <c r="B30" s="72"/>
      <c r="C30" s="72"/>
      <c r="D30" s="72"/>
      <c r="E30" s="72"/>
      <c r="F30" s="72"/>
      <c r="G30" s="72"/>
    </row>
    <row r="31" spans="1:60">
      <c r="A31" s="72"/>
      <c r="B31" s="72"/>
      <c r="C31" s="72"/>
      <c r="D31" s="72"/>
      <c r="E31" s="72"/>
      <c r="F31" s="72"/>
      <c r="G31" s="72"/>
    </row>
    <row r="32" spans="1:60">
      <c r="A32" s="72"/>
      <c r="B32" s="72"/>
      <c r="C32" s="72"/>
      <c r="D32" s="72"/>
      <c r="E32" s="72"/>
      <c r="F32" s="72"/>
      <c r="G32" s="72"/>
    </row>
    <row r="33" spans="1:7">
      <c r="A33" s="72"/>
      <c r="B33" s="72"/>
      <c r="C33" s="72"/>
      <c r="D33" s="72"/>
      <c r="E33" s="72"/>
      <c r="F33" s="72"/>
      <c r="G33" s="72"/>
    </row>
    <row r="34" spans="1:7">
      <c r="A34" s="72"/>
      <c r="B34" s="72"/>
      <c r="C34" s="72"/>
      <c r="D34" s="72"/>
      <c r="E34" s="72"/>
      <c r="F34" s="72"/>
      <c r="G34" s="72"/>
    </row>
    <row r="35" spans="1:7">
      <c r="A35" s="72"/>
      <c r="B35" s="72"/>
      <c r="C35" s="72"/>
      <c r="D35" s="72"/>
      <c r="E35" s="72"/>
      <c r="F35" s="72"/>
      <c r="G35" s="72"/>
    </row>
    <row r="36" spans="1:7">
      <c r="A36" s="72"/>
      <c r="B36" s="72"/>
      <c r="C36" s="72"/>
      <c r="D36" s="72"/>
      <c r="E36" s="72"/>
      <c r="F36" s="72"/>
      <c r="G36" s="72"/>
    </row>
    <row r="37" spans="1:7">
      <c r="A37" s="72"/>
      <c r="B37" s="72"/>
      <c r="C37" s="72"/>
      <c r="D37" s="72"/>
      <c r="E37" s="72"/>
      <c r="F37" s="72"/>
      <c r="G37" s="72"/>
    </row>
    <row r="38" spans="1:7">
      <c r="A38" s="72"/>
      <c r="B38" s="72"/>
      <c r="C38" s="72"/>
      <c r="D38" s="72"/>
      <c r="E38" s="72"/>
      <c r="F38" s="72"/>
      <c r="G38" s="72"/>
    </row>
    <row r="39" spans="1:7">
      <c r="A39" s="72"/>
      <c r="B39" s="72"/>
      <c r="C39" s="72"/>
      <c r="D39" s="72"/>
      <c r="E39" s="72"/>
      <c r="F39" s="72"/>
      <c r="G39" s="72"/>
    </row>
    <row r="40" spans="1:7">
      <c r="A40" s="72"/>
      <c r="B40" s="72"/>
      <c r="C40" s="72"/>
      <c r="D40" s="72"/>
      <c r="E40" s="72"/>
      <c r="F40" s="72"/>
      <c r="G40" s="72"/>
    </row>
    <row r="41" spans="1:7">
      <c r="A41" s="72"/>
      <c r="B41" s="72"/>
      <c r="C41" s="72"/>
      <c r="D41" s="72"/>
      <c r="E41" s="72"/>
      <c r="F41" s="72"/>
      <c r="G41" s="72"/>
    </row>
    <row r="42" spans="1:7">
      <c r="A42" s="72"/>
      <c r="B42" s="72"/>
      <c r="C42" s="72"/>
      <c r="D42" s="72"/>
      <c r="E42" s="72"/>
      <c r="F42" s="72"/>
      <c r="G42" s="72"/>
    </row>
    <row r="43" spans="1:7">
      <c r="A43" s="72"/>
      <c r="B43" s="72"/>
      <c r="C43" s="72"/>
      <c r="D43" s="72"/>
      <c r="E43" s="72"/>
      <c r="F43" s="72"/>
      <c r="G43" s="72"/>
    </row>
    <row r="44" spans="1:7">
      <c r="A44" s="72"/>
      <c r="B44" s="72"/>
      <c r="C44" s="72"/>
      <c r="D44" s="72"/>
      <c r="E44" s="72"/>
      <c r="F44" s="72"/>
      <c r="G44" s="72"/>
    </row>
    <row r="45" spans="1:7">
      <c r="A45" s="72"/>
      <c r="B45" s="72"/>
      <c r="C45" s="72"/>
      <c r="D45" s="72"/>
      <c r="E45" s="72"/>
      <c r="F45" s="72"/>
      <c r="G45" s="72"/>
    </row>
    <row r="46" spans="1:7">
      <c r="A46" s="72"/>
      <c r="B46" s="72"/>
      <c r="C46" s="72"/>
      <c r="D46" s="72"/>
      <c r="E46" s="72"/>
      <c r="F46" s="72"/>
      <c r="G46" s="72"/>
    </row>
    <row r="47" spans="1:7">
      <c r="A47" s="72"/>
      <c r="B47" s="72"/>
      <c r="C47" s="72"/>
      <c r="D47" s="72"/>
      <c r="E47" s="72"/>
      <c r="F47" s="72"/>
      <c r="G47" s="72"/>
    </row>
    <row r="48" spans="1:7">
      <c r="A48" s="72"/>
      <c r="B48" s="72"/>
      <c r="C48" s="72"/>
      <c r="D48" s="72"/>
      <c r="E48" s="72"/>
      <c r="F48" s="72"/>
      <c r="G48" s="72"/>
    </row>
    <row r="49" spans="1:7">
      <c r="A49" s="72"/>
      <c r="B49" s="72"/>
      <c r="C49" s="72"/>
      <c r="D49" s="72"/>
      <c r="E49" s="72"/>
      <c r="F49" s="72"/>
      <c r="G49" s="72"/>
    </row>
    <row r="50" spans="1:7">
      <c r="A50" s="72"/>
      <c r="B50" s="72"/>
      <c r="C50" s="72"/>
      <c r="D50" s="72"/>
      <c r="E50" s="72"/>
      <c r="F50" s="72"/>
      <c r="G50" s="72"/>
    </row>
    <row r="51" spans="1:7">
      <c r="A51" s="72"/>
      <c r="B51" s="72"/>
      <c r="C51" s="72"/>
      <c r="D51" s="72"/>
      <c r="E51" s="72"/>
      <c r="F51" s="72"/>
      <c r="G51" s="72"/>
    </row>
    <row r="52" spans="1:7">
      <c r="A52" s="72"/>
      <c r="B52" s="72"/>
      <c r="C52" s="72"/>
      <c r="D52" s="72"/>
      <c r="E52" s="72"/>
      <c r="F52" s="72"/>
      <c r="G52" s="72"/>
    </row>
    <row r="53" spans="1:7">
      <c r="A53" s="72"/>
      <c r="B53" s="72"/>
      <c r="C53" s="72"/>
      <c r="D53" s="72"/>
      <c r="E53" s="72"/>
      <c r="F53" s="72"/>
      <c r="G53" s="72"/>
    </row>
    <row r="54" spans="1:7">
      <c r="A54" s="72"/>
      <c r="B54" s="72"/>
      <c r="C54" s="72"/>
      <c r="D54" s="72"/>
      <c r="E54" s="72"/>
      <c r="F54" s="72"/>
      <c r="G54" s="72"/>
    </row>
    <row r="55" spans="1:7">
      <c r="A55" s="72"/>
      <c r="B55" s="72"/>
      <c r="C55" s="72"/>
      <c r="D55" s="72"/>
      <c r="E55" s="72"/>
      <c r="F55" s="72"/>
      <c r="G55" s="72"/>
    </row>
    <row r="56" spans="1:7">
      <c r="A56" s="72"/>
      <c r="B56" s="72"/>
      <c r="C56" s="72"/>
      <c r="D56" s="72"/>
      <c r="E56" s="72"/>
      <c r="F56" s="72"/>
      <c r="G56" s="72"/>
    </row>
    <row r="57" spans="1:7">
      <c r="A57" s="72"/>
      <c r="B57" s="72"/>
      <c r="C57" s="72"/>
      <c r="D57" s="72"/>
      <c r="E57" s="72"/>
      <c r="F57" s="72"/>
      <c r="G57" s="72"/>
    </row>
    <row r="58" spans="1:7">
      <c r="A58" s="72"/>
      <c r="B58" s="72"/>
      <c r="C58" s="72"/>
      <c r="D58" s="72"/>
      <c r="E58" s="72"/>
      <c r="F58" s="72"/>
      <c r="G58" s="72"/>
    </row>
    <row r="59" spans="1:7">
      <c r="A59" s="72"/>
      <c r="B59" s="72"/>
      <c r="C59" s="72"/>
      <c r="D59" s="72"/>
      <c r="E59" s="72"/>
      <c r="F59" s="72"/>
      <c r="G59" s="72"/>
    </row>
    <row r="60" spans="1:7">
      <c r="A60" s="72"/>
      <c r="B60" s="72"/>
      <c r="C60" s="72"/>
      <c r="D60" s="72"/>
      <c r="E60" s="72"/>
      <c r="F60" s="72"/>
      <c r="G60" s="72"/>
    </row>
    <row r="61" spans="1:7">
      <c r="A61" s="72"/>
      <c r="B61" s="72"/>
      <c r="C61" s="72"/>
      <c r="D61" s="72"/>
      <c r="E61" s="72"/>
      <c r="F61" s="72"/>
      <c r="G61" s="72"/>
    </row>
    <row r="62" spans="1:7">
      <c r="A62" s="72"/>
      <c r="B62" s="72"/>
      <c r="C62" s="72"/>
      <c r="D62" s="72"/>
      <c r="E62" s="72"/>
      <c r="F62" s="72"/>
      <c r="G62" s="72"/>
    </row>
    <row r="63" spans="1:7">
      <c r="A63" s="72"/>
      <c r="B63" s="72"/>
      <c r="C63" s="72"/>
      <c r="D63" s="72"/>
      <c r="E63" s="72"/>
      <c r="F63" s="72"/>
      <c r="G63" s="72"/>
    </row>
    <row r="64" spans="1:7">
      <c r="A64" s="72"/>
      <c r="B64" s="72"/>
      <c r="C64" s="72"/>
      <c r="D64" s="72"/>
      <c r="E64" s="72"/>
      <c r="F64" s="72"/>
      <c r="G64" s="72"/>
    </row>
    <row r="65" s="72" customFormat="1"/>
    <row r="66" s="72" customFormat="1"/>
    <row r="67" s="72" customFormat="1"/>
    <row r="68" s="72" customFormat="1"/>
    <row r="69" s="72" customFormat="1"/>
    <row r="70" s="72" customFormat="1"/>
    <row r="71" s="72" customFormat="1"/>
    <row r="72" s="72" customFormat="1"/>
    <row r="73" s="72" customFormat="1"/>
    <row r="74" s="72" customFormat="1"/>
    <row r="75" s="72" customFormat="1"/>
    <row r="76" s="72" customFormat="1"/>
    <row r="77" s="72" customFormat="1"/>
    <row r="78" s="72" customFormat="1"/>
    <row r="79" s="72" customFormat="1"/>
    <row r="80" s="72" customFormat="1"/>
    <row r="81" s="72" customFormat="1"/>
    <row r="82" s="72" customFormat="1"/>
    <row r="83" s="72" customFormat="1"/>
    <row r="84" s="72" customFormat="1"/>
    <row r="85" s="72" customFormat="1"/>
    <row r="86" s="72" customFormat="1"/>
    <row r="87" s="72" customFormat="1"/>
    <row r="88" s="72" customFormat="1"/>
    <row r="89" s="72" customFormat="1"/>
    <row r="90" s="72" customFormat="1"/>
    <row r="91" s="72" customFormat="1"/>
    <row r="92" s="72" customFormat="1"/>
    <row r="93" s="72" customFormat="1"/>
    <row r="94" s="72" customFormat="1"/>
    <row r="95" s="72" customFormat="1"/>
    <row r="96" s="72" customFormat="1"/>
    <row r="97" s="72" customFormat="1"/>
    <row r="98" s="72" customFormat="1"/>
    <row r="99" s="72" customFormat="1"/>
    <row r="100" s="72" customFormat="1"/>
    <row r="101" s="72" customFormat="1"/>
    <row r="102" s="72" customFormat="1"/>
    <row r="103" s="72" customFormat="1"/>
    <row r="104" s="72" customFormat="1"/>
    <row r="105" s="72" customFormat="1"/>
    <row r="106" s="72" customFormat="1"/>
    <row r="107" s="72" customFormat="1"/>
    <row r="108" s="72" customFormat="1"/>
    <row r="109" s="72" customFormat="1"/>
    <row r="110" s="72" customFormat="1"/>
    <row r="111" s="72" customFormat="1"/>
    <row r="112" s="72" customFormat="1"/>
    <row r="113" s="72" customFormat="1"/>
    <row r="114" s="72" customFormat="1"/>
  </sheetData>
  <sheetProtection algorithmName="SHA-512" hashValue="//dTVtLgOYHhCTzGr4XxkIJ8qrhtQKUeF/49EwRPNSdDJbs6c0OTgWsLGKr9CY8hzK8fpTiE93DBJjxo1FVCPQ==" saltValue="CUAWzNA7b8CiAYpknfR18A==" spinCount="100000"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tabColor rgb="FFFFCCFF"/>
    <pageSetUpPr fitToPage="1"/>
  </sheetPr>
  <dimension ref="A1:AL61"/>
  <sheetViews>
    <sheetView workbookViewId="0">
      <selection activeCell="B13" sqref="B13"/>
    </sheetView>
  </sheetViews>
  <sheetFormatPr defaultRowHeight="12.75"/>
  <cols>
    <col min="2" max="6" width="18.7109375" customWidth="1"/>
    <col min="7" max="38" width="9.140625" style="21"/>
  </cols>
  <sheetData>
    <row r="1" spans="1:38" ht="20.100000000000001" customHeight="1" thickBot="1">
      <c r="A1" s="1213"/>
      <c r="B1" s="1213"/>
      <c r="C1" s="1556" t="s">
        <v>34</v>
      </c>
      <c r="D1" s="1557"/>
      <c r="E1" s="1558"/>
      <c r="F1" s="167" t="str">
        <f>+'2Př'!I1</f>
        <v/>
      </c>
    </row>
    <row r="2" spans="1:38" ht="27.95" customHeight="1">
      <c r="A2" s="1213"/>
      <c r="B2" s="1213"/>
      <c r="C2" s="1213"/>
      <c r="D2" s="1213"/>
      <c r="E2" s="1213"/>
      <c r="F2" s="1213"/>
    </row>
    <row r="3" spans="1:38" ht="27.95" customHeight="1">
      <c r="A3" s="1559" t="s">
        <v>169</v>
      </c>
      <c r="B3" s="1559"/>
      <c r="C3" s="1559"/>
      <c r="D3" s="1559"/>
      <c r="E3" s="1559"/>
      <c r="F3" s="1559"/>
    </row>
    <row r="4" spans="1:38" ht="27.95" customHeight="1" thickBot="1">
      <c r="A4" s="1213"/>
      <c r="B4" s="1213"/>
      <c r="C4" s="1213"/>
      <c r="D4" s="1213"/>
      <c r="E4" s="1213"/>
      <c r="F4" s="1213"/>
    </row>
    <row r="5" spans="1:38" s="163" customFormat="1" ht="18.75" thickBot="1">
      <c r="A5" s="1560" t="s">
        <v>113</v>
      </c>
      <c r="B5" s="1560"/>
      <c r="C5" s="1560"/>
      <c r="D5" s="1560"/>
      <c r="E5" s="1561"/>
      <c r="F5" s="164">
        <f>+'DAP1'!F24</f>
        <v>2025</v>
      </c>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row>
    <row r="6" spans="1:38" ht="18">
      <c r="A6" s="1567" t="s">
        <v>170</v>
      </c>
      <c r="B6" s="1567"/>
      <c r="C6" s="1567"/>
      <c r="D6" s="1567"/>
      <c r="E6" s="1567"/>
      <c r="F6" s="1567"/>
    </row>
    <row r="7" spans="1:38" ht="15">
      <c r="A7" s="1568" t="s">
        <v>42</v>
      </c>
      <c r="B7" s="1568"/>
      <c r="C7" s="1568"/>
      <c r="D7" s="1568"/>
      <c r="E7" s="1568"/>
      <c r="F7" s="1568"/>
    </row>
    <row r="8" spans="1:38" ht="13.5" thickBot="1">
      <c r="A8" s="1213"/>
      <c r="B8" s="1213"/>
      <c r="C8" s="1213"/>
      <c r="D8" s="1213"/>
      <c r="E8" s="1213"/>
      <c r="F8" s="1213"/>
    </row>
    <row r="9" spans="1:38">
      <c r="A9" s="205" t="s">
        <v>163</v>
      </c>
      <c r="B9" s="206" t="s">
        <v>168</v>
      </c>
      <c r="C9" s="206" t="s">
        <v>167</v>
      </c>
      <c r="D9" s="206" t="s">
        <v>166</v>
      </c>
      <c r="E9" s="206" t="s">
        <v>165</v>
      </c>
      <c r="F9" s="207" t="s">
        <v>164</v>
      </c>
    </row>
    <row r="10" spans="1:38" ht="12.75" customHeight="1">
      <c r="A10" s="1569" t="s">
        <v>6</v>
      </c>
      <c r="B10" s="1565" t="s">
        <v>2517</v>
      </c>
      <c r="C10" s="1565" t="s">
        <v>2518</v>
      </c>
      <c r="D10" s="1565" t="s">
        <v>2519</v>
      </c>
      <c r="E10" s="1565" t="s">
        <v>2520</v>
      </c>
      <c r="F10" s="1554" t="s">
        <v>2521</v>
      </c>
    </row>
    <row r="11" spans="1:38" ht="45.75" customHeight="1">
      <c r="A11" s="1569"/>
      <c r="B11" s="1565"/>
      <c r="C11" s="1565"/>
      <c r="D11" s="1566"/>
      <c r="E11" s="1566"/>
      <c r="F11" s="1555"/>
    </row>
    <row r="12" spans="1:38" ht="18" customHeight="1">
      <c r="A12" s="168">
        <v>1</v>
      </c>
      <c r="B12" s="208">
        <v>2024</v>
      </c>
      <c r="C12" s="209">
        <v>0</v>
      </c>
      <c r="D12" s="209">
        <v>0</v>
      </c>
      <c r="E12" s="209">
        <v>0</v>
      </c>
      <c r="F12" s="210">
        <f t="shared" ref="F12:F19" si="0">+C12-D12-E12</f>
        <v>0</v>
      </c>
    </row>
    <row r="13" spans="1:38" ht="18" customHeight="1">
      <c r="A13" s="168">
        <v>2</v>
      </c>
      <c r="B13" s="211"/>
      <c r="C13" s="209"/>
      <c r="D13" s="209"/>
      <c r="E13" s="209"/>
      <c r="F13" s="210">
        <f t="shared" si="0"/>
        <v>0</v>
      </c>
    </row>
    <row r="14" spans="1:38" ht="18" customHeight="1">
      <c r="A14" s="168">
        <v>3</v>
      </c>
      <c r="B14" s="211"/>
      <c r="C14" s="209"/>
      <c r="D14" s="209"/>
      <c r="E14" s="209"/>
      <c r="F14" s="210">
        <f t="shared" si="0"/>
        <v>0</v>
      </c>
    </row>
    <row r="15" spans="1:38" ht="18" customHeight="1">
      <c r="A15" s="168">
        <v>4</v>
      </c>
      <c r="B15" s="211"/>
      <c r="C15" s="209"/>
      <c r="D15" s="209"/>
      <c r="E15" s="209"/>
      <c r="F15" s="210">
        <f t="shared" si="0"/>
        <v>0</v>
      </c>
    </row>
    <row r="16" spans="1:38" ht="18" customHeight="1">
      <c r="A16" s="168">
        <v>5</v>
      </c>
      <c r="B16" s="211"/>
      <c r="C16" s="209"/>
      <c r="D16" s="209"/>
      <c r="E16" s="209"/>
      <c r="F16" s="210">
        <f t="shared" si="0"/>
        <v>0</v>
      </c>
    </row>
    <row r="17" spans="1:6" ht="18" customHeight="1">
      <c r="A17" s="168">
        <v>6</v>
      </c>
      <c r="B17" s="211"/>
      <c r="C17" s="209"/>
      <c r="D17" s="209"/>
      <c r="E17" s="209"/>
      <c r="F17" s="210">
        <f t="shared" si="0"/>
        <v>0</v>
      </c>
    </row>
    <row r="18" spans="1:6" ht="18" customHeight="1">
      <c r="A18" s="168">
        <v>7</v>
      </c>
      <c r="B18" s="211"/>
      <c r="C18" s="209"/>
      <c r="D18" s="209"/>
      <c r="E18" s="209"/>
      <c r="F18" s="210">
        <f t="shared" si="0"/>
        <v>0</v>
      </c>
    </row>
    <row r="19" spans="1:6" ht="18" customHeight="1">
      <c r="A19" s="168">
        <v>8</v>
      </c>
      <c r="B19" s="211"/>
      <c r="C19" s="209"/>
      <c r="D19" s="209"/>
      <c r="E19" s="209"/>
      <c r="F19" s="210">
        <f t="shared" si="0"/>
        <v>0</v>
      </c>
    </row>
    <row r="20" spans="1:6" ht="18" customHeight="1" thickBot="1">
      <c r="A20" s="212">
        <v>9</v>
      </c>
      <c r="B20" s="1563" t="s">
        <v>55</v>
      </c>
      <c r="C20" s="1564"/>
      <c r="D20" s="1564"/>
      <c r="E20" s="213">
        <f>SUM(E12:E19)</f>
        <v>0</v>
      </c>
      <c r="F20" s="214">
        <f>SUM(F12:F19)</f>
        <v>0</v>
      </c>
    </row>
    <row r="21" spans="1:6" ht="24" customHeight="1">
      <c r="A21" s="1562" t="s">
        <v>2522</v>
      </c>
      <c r="B21" s="1562"/>
      <c r="C21" s="1562"/>
      <c r="D21" s="1562"/>
      <c r="E21" s="1562"/>
      <c r="F21" s="1562"/>
    </row>
    <row r="22" spans="1:6" ht="24" customHeight="1">
      <c r="A22" s="1213"/>
      <c r="B22" s="1213"/>
      <c r="C22" s="1213"/>
      <c r="D22" s="1213"/>
      <c r="E22" s="1213"/>
      <c r="F22" s="1213"/>
    </row>
    <row r="23" spans="1:6" ht="24" customHeight="1">
      <c r="A23" s="1213"/>
      <c r="B23" s="1213"/>
      <c r="C23" s="1213"/>
      <c r="D23" s="1213"/>
      <c r="E23" s="1213"/>
      <c r="F23" s="1213"/>
    </row>
    <row r="24" spans="1:6" ht="24" customHeight="1">
      <c r="A24" s="1213"/>
      <c r="B24" s="1213"/>
      <c r="C24" s="1213"/>
      <c r="D24" s="1213"/>
      <c r="E24" s="1213"/>
      <c r="F24" s="1213"/>
    </row>
    <row r="25" spans="1:6" ht="24" customHeight="1">
      <c r="A25" s="1213"/>
      <c r="B25" s="1213"/>
      <c r="C25" s="1213"/>
      <c r="D25" s="1213"/>
      <c r="E25" s="1213"/>
      <c r="F25" s="1213"/>
    </row>
    <row r="26" spans="1:6" ht="24" customHeight="1">
      <c r="A26" s="1213"/>
      <c r="B26" s="1213"/>
      <c r="C26" s="1213"/>
      <c r="D26" s="1213"/>
      <c r="E26" s="1213"/>
      <c r="F26" s="1213"/>
    </row>
    <row r="27" spans="1:6" ht="24" customHeight="1">
      <c r="A27" s="1213"/>
      <c r="B27" s="1213"/>
      <c r="C27" s="1213"/>
      <c r="D27" s="1213"/>
      <c r="E27" s="1213"/>
      <c r="F27" s="1213"/>
    </row>
    <row r="28" spans="1:6" ht="24" customHeight="1">
      <c r="A28" s="1213"/>
      <c r="B28" s="1213"/>
      <c r="C28" s="1213"/>
      <c r="D28" s="1213"/>
      <c r="E28" s="1213"/>
      <c r="F28" s="1213"/>
    </row>
    <row r="29" spans="1:6" ht="24" customHeight="1">
      <c r="A29" s="1213"/>
      <c r="B29" s="1213"/>
      <c r="C29" s="1213"/>
      <c r="D29" s="1213"/>
      <c r="E29" s="1213"/>
      <c r="F29" s="1213"/>
    </row>
    <row r="30" spans="1:6" ht="24" customHeight="1">
      <c r="A30" s="1213"/>
      <c r="B30" s="1213"/>
      <c r="C30" s="1213"/>
      <c r="D30" s="1213"/>
      <c r="E30" s="1213"/>
      <c r="F30" s="1213"/>
    </row>
    <row r="31" spans="1:6" ht="24" customHeight="1">
      <c r="A31" s="1213"/>
      <c r="B31" s="1213"/>
      <c r="C31" s="1213"/>
      <c r="D31" s="1213"/>
      <c r="E31" s="1213"/>
      <c r="F31" s="1213"/>
    </row>
    <row r="32" spans="1:6" ht="24" customHeight="1">
      <c r="A32" s="1213"/>
      <c r="B32" s="1213"/>
      <c r="C32" s="1213"/>
      <c r="D32" s="1213"/>
      <c r="E32" s="1213"/>
      <c r="F32" s="1213"/>
    </row>
    <row r="33" spans="1:6" ht="24" customHeight="1">
      <c r="A33" s="1213"/>
      <c r="B33" s="1213"/>
      <c r="C33" s="1213"/>
      <c r="D33" s="1213"/>
      <c r="E33" s="1213"/>
      <c r="F33" s="1213"/>
    </row>
    <row r="34" spans="1:6">
      <c r="A34" s="1552" t="str">
        <f>+'DAP1'!A46</f>
        <v>Formulář zpracovala ASPEKT HM, daňová, účetní a auditorská kancelář, www.danovapriznani.cz, business.center.cz</v>
      </c>
      <c r="B34" s="1553"/>
      <c r="C34" s="1553"/>
      <c r="D34" s="1553"/>
      <c r="E34" s="1553"/>
      <c r="F34" s="1553"/>
    </row>
    <row r="35" spans="1:6">
      <c r="A35" s="1550" t="s">
        <v>2523</v>
      </c>
      <c r="B35" s="1550"/>
      <c r="C35" s="1550"/>
      <c r="D35" s="1550"/>
      <c r="E35" s="1550"/>
      <c r="F35" s="1550"/>
    </row>
    <row r="36" spans="1:6">
      <c r="A36" s="1551" t="s">
        <v>275</v>
      </c>
      <c r="B36" s="1551"/>
      <c r="C36" s="1551"/>
      <c r="D36" s="1551"/>
      <c r="E36" s="1551"/>
      <c r="F36" s="1551"/>
    </row>
    <row r="37" spans="1:6">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sheetData>
  <sheetProtection algorithmName="SHA-512" hashValue="LrjmfJ5BKh9UnCjm8l0s8BMKCG9xdksLG4TjGCL36+f4mCwKgrcX9PlgseuAB9KyYrq5qBJ5oK8CIIh2aG0vjQ==" saltValue="0nQAdBdeDUJUQpHVDN4HN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tabColor rgb="FFFFCCFF"/>
    <pageSetUpPr fitToPage="1"/>
  </sheetPr>
  <dimension ref="A1:U143"/>
  <sheetViews>
    <sheetView workbookViewId="0">
      <selection activeCell="B11" sqref="B11"/>
    </sheetView>
  </sheetViews>
  <sheetFormatPr defaultRowHeight="12.75"/>
  <cols>
    <col min="1" max="1" width="7.42578125" customWidth="1"/>
    <col min="2" max="2" width="64.7109375" customWidth="1"/>
    <col min="3" max="6" width="18.7109375" customWidth="1"/>
    <col min="7" max="21" width="9.140625" style="21"/>
  </cols>
  <sheetData>
    <row r="1" spans="1:21" ht="18" customHeight="1">
      <c r="A1" s="1556" t="s">
        <v>34</v>
      </c>
      <c r="B1" s="1213"/>
      <c r="C1" s="1213"/>
      <c r="D1" s="1572"/>
      <c r="E1" s="1570" t="str">
        <f>+'6Př'!F1</f>
        <v/>
      </c>
      <c r="F1" s="1571"/>
    </row>
    <row r="2" spans="1:21">
      <c r="A2" s="1213"/>
      <c r="B2" s="1213"/>
      <c r="C2" s="1213"/>
      <c r="D2" s="1213"/>
      <c r="E2" s="1213"/>
      <c r="F2" s="1213"/>
    </row>
    <row r="3" spans="1:21" s="102" customFormat="1" ht="27.75">
      <c r="A3" s="1573" t="s">
        <v>108</v>
      </c>
      <c r="B3" s="1573"/>
      <c r="C3" s="1573"/>
      <c r="D3" s="1573"/>
      <c r="E3" s="1573"/>
      <c r="F3" s="1573"/>
      <c r="G3" s="105"/>
      <c r="H3" s="105"/>
      <c r="I3" s="105"/>
      <c r="J3" s="105"/>
      <c r="K3" s="105"/>
      <c r="L3" s="105"/>
      <c r="M3" s="105"/>
      <c r="N3" s="105"/>
      <c r="O3" s="105"/>
      <c r="P3" s="105"/>
      <c r="Q3" s="105"/>
      <c r="R3" s="105"/>
      <c r="S3" s="105"/>
      <c r="T3" s="105"/>
      <c r="U3" s="105"/>
    </row>
    <row r="4" spans="1:21" s="102" customFormat="1" ht="18">
      <c r="A4" s="821" t="s">
        <v>43</v>
      </c>
      <c r="B4" s="821"/>
      <c r="C4" s="821"/>
      <c r="D4" s="821"/>
      <c r="E4" s="821"/>
      <c r="F4" s="821"/>
      <c r="G4" s="105"/>
      <c r="H4" s="105"/>
      <c r="I4" s="105"/>
      <c r="J4" s="105"/>
      <c r="K4" s="105"/>
      <c r="L4" s="105"/>
      <c r="M4" s="105"/>
      <c r="N4" s="105"/>
      <c r="O4" s="105"/>
      <c r="P4" s="105"/>
      <c r="Q4" s="105"/>
      <c r="R4" s="105"/>
      <c r="S4" s="105"/>
      <c r="T4" s="105"/>
      <c r="U4" s="105"/>
    </row>
    <row r="5" spans="1:21" s="102" customFormat="1" ht="18">
      <c r="A5" s="821" t="s">
        <v>2298</v>
      </c>
      <c r="B5" s="821"/>
      <c r="C5" s="821"/>
      <c r="D5" s="821"/>
      <c r="E5" s="821"/>
      <c r="F5" s="821"/>
      <c r="G5" s="105"/>
      <c r="H5" s="105"/>
      <c r="I5" s="105"/>
      <c r="J5" s="105"/>
      <c r="K5" s="105"/>
      <c r="L5" s="105"/>
      <c r="M5" s="105"/>
      <c r="N5" s="105"/>
      <c r="O5" s="105"/>
      <c r="P5" s="105"/>
      <c r="Q5" s="105"/>
      <c r="R5" s="105"/>
      <c r="S5" s="105"/>
      <c r="T5" s="105"/>
      <c r="U5" s="105"/>
    </row>
    <row r="6" spans="1:21" s="102" customFormat="1" ht="18">
      <c r="A6" s="1576" t="s">
        <v>113</v>
      </c>
      <c r="B6" s="1576"/>
      <c r="C6" s="1576"/>
      <c r="D6" s="1577"/>
      <c r="E6" s="166">
        <f>+'DAP1'!F24</f>
        <v>2025</v>
      </c>
      <c r="F6" s="136"/>
      <c r="G6" s="105"/>
      <c r="H6" s="105"/>
      <c r="I6" s="105"/>
      <c r="J6" s="105"/>
      <c r="K6" s="105"/>
      <c r="L6" s="105"/>
      <c r="M6" s="105"/>
      <c r="N6" s="105"/>
      <c r="O6" s="105"/>
      <c r="P6" s="105"/>
      <c r="Q6" s="105"/>
      <c r="R6" s="105"/>
      <c r="S6" s="105"/>
      <c r="T6" s="105"/>
      <c r="U6" s="105"/>
    </row>
    <row r="7" spans="1:21" ht="13.5" thickBot="1">
      <c r="A7" s="1213"/>
      <c r="B7" s="1213"/>
      <c r="C7" s="1213"/>
      <c r="D7" s="1213"/>
      <c r="E7" s="1213"/>
      <c r="F7" s="1213"/>
    </row>
    <row r="8" spans="1:21" ht="18" customHeight="1">
      <c r="A8" s="215" t="s">
        <v>6</v>
      </c>
      <c r="B8" s="216" t="s">
        <v>44</v>
      </c>
      <c r="C8" s="216" t="s">
        <v>45</v>
      </c>
      <c r="D8" s="216" t="s">
        <v>46</v>
      </c>
      <c r="E8" s="216" t="s">
        <v>47</v>
      </c>
      <c r="F8" s="217" t="s">
        <v>48</v>
      </c>
    </row>
    <row r="9" spans="1:21" ht="18" customHeight="1" thickBot="1">
      <c r="A9" s="218" t="s">
        <v>114</v>
      </c>
      <c r="B9" s="219" t="s">
        <v>2299</v>
      </c>
      <c r="C9" s="219" t="s">
        <v>115</v>
      </c>
      <c r="D9" s="219" t="s">
        <v>116</v>
      </c>
      <c r="E9" s="219" t="s">
        <v>117</v>
      </c>
      <c r="F9" s="220" t="s">
        <v>118</v>
      </c>
    </row>
    <row r="10" spans="1:21" ht="18" customHeight="1">
      <c r="A10" s="221">
        <v>1</v>
      </c>
      <c r="B10" s="222"/>
      <c r="C10" s="223"/>
      <c r="D10" s="223"/>
      <c r="E10" s="223"/>
      <c r="F10" s="224"/>
    </row>
    <row r="11" spans="1:21" ht="18" customHeight="1">
      <c r="A11" s="225"/>
      <c r="B11" s="137"/>
      <c r="C11" s="226"/>
      <c r="D11" s="226"/>
      <c r="E11" s="226"/>
      <c r="F11" s="227"/>
    </row>
    <row r="12" spans="1:21" ht="18" customHeight="1">
      <c r="A12" s="225"/>
      <c r="B12" s="137"/>
      <c r="C12" s="226"/>
      <c r="D12" s="226"/>
      <c r="E12" s="226"/>
      <c r="F12" s="227"/>
    </row>
    <row r="13" spans="1:21" ht="18" customHeight="1">
      <c r="A13" s="225"/>
      <c r="B13" s="137"/>
      <c r="C13" s="226"/>
      <c r="D13" s="226"/>
      <c r="E13" s="226"/>
      <c r="F13" s="227"/>
    </row>
    <row r="14" spans="1:21" ht="18" customHeight="1">
      <c r="A14" s="225"/>
      <c r="B14" s="137"/>
      <c r="C14" s="226"/>
      <c r="D14" s="226"/>
      <c r="E14" s="226"/>
      <c r="F14" s="227"/>
    </row>
    <row r="15" spans="1:21" ht="18" customHeight="1">
      <c r="A15" s="225"/>
      <c r="B15" s="137"/>
      <c r="C15" s="226"/>
      <c r="D15" s="226"/>
      <c r="E15" s="226"/>
      <c r="F15" s="227"/>
    </row>
    <row r="16" spans="1:21" ht="18" customHeight="1">
      <c r="A16" s="225"/>
      <c r="B16" s="137"/>
      <c r="C16" s="226"/>
      <c r="D16" s="226"/>
      <c r="E16" s="226"/>
      <c r="F16" s="227"/>
    </row>
    <row r="17" spans="1:21" ht="18" customHeight="1">
      <c r="A17" s="225"/>
      <c r="B17" s="137"/>
      <c r="C17" s="226"/>
      <c r="D17" s="226"/>
      <c r="E17" s="226"/>
      <c r="F17" s="227"/>
    </row>
    <row r="18" spans="1:21" ht="18" customHeight="1">
      <c r="A18" s="225"/>
      <c r="B18" s="137"/>
      <c r="C18" s="226"/>
      <c r="D18" s="226"/>
      <c r="E18" s="226"/>
      <c r="F18" s="227"/>
    </row>
    <row r="19" spans="1:21" ht="18" customHeight="1">
      <c r="A19" s="225"/>
      <c r="B19" s="137"/>
      <c r="C19" s="226"/>
      <c r="D19" s="226"/>
      <c r="E19" s="226"/>
      <c r="F19" s="227"/>
    </row>
    <row r="20" spans="1:21" ht="18" customHeight="1">
      <c r="A20" s="225"/>
      <c r="B20" s="137"/>
      <c r="C20" s="226"/>
      <c r="D20" s="226"/>
      <c r="E20" s="226"/>
      <c r="F20" s="227"/>
    </row>
    <row r="21" spans="1:21" ht="18" customHeight="1">
      <c r="A21" s="225"/>
      <c r="B21" s="137"/>
      <c r="C21" s="226"/>
      <c r="D21" s="226"/>
      <c r="E21" s="226"/>
      <c r="F21" s="227"/>
    </row>
    <row r="22" spans="1:21" ht="18" customHeight="1">
      <c r="A22" s="225"/>
      <c r="B22" s="137"/>
      <c r="C22" s="226"/>
      <c r="D22" s="226"/>
      <c r="E22" s="226"/>
      <c r="F22" s="227"/>
    </row>
    <row r="23" spans="1:21" ht="18" customHeight="1">
      <c r="A23" s="225"/>
      <c r="B23" s="137"/>
      <c r="C23" s="226"/>
      <c r="D23" s="226"/>
      <c r="E23" s="226"/>
      <c r="F23" s="227"/>
    </row>
    <row r="24" spans="1:21" ht="18" customHeight="1">
      <c r="A24" s="225"/>
      <c r="B24" s="137"/>
      <c r="C24" s="226"/>
      <c r="D24" s="226"/>
      <c r="E24" s="226"/>
      <c r="F24" s="227"/>
    </row>
    <row r="25" spans="1:21" ht="18" customHeight="1" thickBot="1">
      <c r="A25" s="228"/>
      <c r="B25" s="229"/>
      <c r="C25" s="230"/>
      <c r="D25" s="230"/>
      <c r="E25" s="230"/>
      <c r="F25" s="231"/>
    </row>
    <row r="26" spans="1:21">
      <c r="A26" s="1578"/>
      <c r="B26" s="1578"/>
      <c r="C26" s="1578"/>
      <c r="D26" s="1578"/>
      <c r="E26" s="1578"/>
      <c r="F26" s="1578"/>
    </row>
    <row r="27" spans="1:21" s="102" customFormat="1">
      <c r="A27" s="1579" t="s">
        <v>2304</v>
      </c>
      <c r="B27" s="1240"/>
      <c r="C27" s="1240"/>
      <c r="D27" s="1240"/>
      <c r="E27" s="1240"/>
      <c r="F27" s="1240"/>
      <c r="G27" s="105"/>
      <c r="H27" s="105"/>
      <c r="I27" s="105"/>
      <c r="J27" s="105"/>
      <c r="K27" s="105"/>
      <c r="L27" s="105"/>
      <c r="M27" s="105"/>
      <c r="N27" s="105"/>
      <c r="O27" s="105"/>
      <c r="P27" s="105"/>
      <c r="Q27" s="105"/>
      <c r="R27" s="105"/>
      <c r="S27" s="105"/>
      <c r="T27" s="105"/>
      <c r="U27" s="105"/>
    </row>
    <row r="28" spans="1:21" s="102" customFormat="1" ht="24" customHeight="1">
      <c r="A28" s="1580" t="s">
        <v>2300</v>
      </c>
      <c r="B28" s="893"/>
      <c r="C28" s="893"/>
      <c r="D28" s="893"/>
      <c r="E28" s="893"/>
      <c r="F28" s="893"/>
      <c r="G28" s="105"/>
      <c r="H28" s="105"/>
      <c r="I28" s="105"/>
      <c r="J28" s="105"/>
      <c r="K28" s="105"/>
      <c r="L28" s="105"/>
      <c r="M28" s="105"/>
      <c r="N28" s="105"/>
      <c r="O28" s="105"/>
      <c r="P28" s="105"/>
      <c r="Q28" s="105"/>
      <c r="R28" s="105"/>
      <c r="S28" s="105"/>
      <c r="T28" s="105"/>
      <c r="U28" s="105"/>
    </row>
    <row r="29" spans="1:21" s="102" customFormat="1">
      <c r="A29" s="1579" t="s">
        <v>119</v>
      </c>
      <c r="B29" s="1240"/>
      <c r="C29" s="1240"/>
      <c r="D29" s="1240"/>
      <c r="E29" s="1240"/>
      <c r="F29" s="1240"/>
      <c r="G29" s="105"/>
      <c r="H29" s="105"/>
      <c r="I29" s="105"/>
      <c r="J29" s="105"/>
      <c r="K29" s="105"/>
      <c r="L29" s="105"/>
      <c r="M29" s="105"/>
      <c r="N29" s="105"/>
      <c r="O29" s="105"/>
      <c r="P29" s="105"/>
      <c r="Q29" s="105"/>
      <c r="R29" s="105"/>
      <c r="S29" s="105"/>
      <c r="T29" s="105"/>
      <c r="U29" s="105"/>
    </row>
    <row r="30" spans="1:21" s="102" customFormat="1">
      <c r="A30" s="1579" t="s">
        <v>120</v>
      </c>
      <c r="B30" s="1240"/>
      <c r="C30" s="1240"/>
      <c r="D30" s="1240"/>
      <c r="E30" s="1240"/>
      <c r="F30" s="1240"/>
      <c r="G30" s="105"/>
      <c r="H30" s="105"/>
      <c r="I30" s="105"/>
      <c r="J30" s="105"/>
      <c r="K30" s="105"/>
      <c r="L30" s="105"/>
      <c r="M30" s="105"/>
      <c r="N30" s="105"/>
      <c r="O30" s="105"/>
      <c r="P30" s="105"/>
      <c r="Q30" s="105"/>
      <c r="R30" s="105"/>
      <c r="S30" s="105"/>
      <c r="T30" s="105"/>
      <c r="U30" s="105"/>
    </row>
    <row r="31" spans="1:21" s="102" customFormat="1" ht="24" customHeight="1">
      <c r="A31" s="1580" t="s">
        <v>121</v>
      </c>
      <c r="B31" s="893"/>
      <c r="C31" s="893"/>
      <c r="D31" s="893"/>
      <c r="E31" s="893"/>
      <c r="F31" s="893"/>
      <c r="G31" s="105"/>
      <c r="H31" s="105"/>
      <c r="I31" s="105"/>
      <c r="J31" s="105"/>
      <c r="K31" s="105"/>
      <c r="L31" s="105"/>
      <c r="M31" s="105"/>
      <c r="N31" s="105"/>
      <c r="O31" s="105"/>
      <c r="P31" s="105"/>
      <c r="Q31" s="105"/>
      <c r="R31" s="105"/>
      <c r="S31" s="105"/>
      <c r="T31" s="105"/>
      <c r="U31" s="105"/>
    </row>
    <row r="32" spans="1:21" s="102" customFormat="1" ht="24" customHeight="1">
      <c r="A32" s="1580" t="s">
        <v>49</v>
      </c>
      <c r="B32" s="893"/>
      <c r="C32" s="893"/>
      <c r="D32" s="893"/>
      <c r="E32" s="893"/>
      <c r="F32" s="893"/>
      <c r="G32" s="105"/>
      <c r="H32" s="105"/>
      <c r="I32" s="105"/>
      <c r="J32" s="105"/>
      <c r="K32" s="105"/>
      <c r="L32" s="105"/>
      <c r="M32" s="105"/>
      <c r="N32" s="105"/>
      <c r="O32" s="105"/>
      <c r="P32" s="105"/>
      <c r="Q32" s="105"/>
      <c r="R32" s="105"/>
      <c r="S32" s="105"/>
      <c r="T32" s="105"/>
      <c r="U32" s="105"/>
    </row>
    <row r="33" spans="1:6">
      <c r="A33" s="72"/>
      <c r="B33" s="72"/>
      <c r="C33" s="72"/>
      <c r="D33" s="72"/>
      <c r="E33" s="72"/>
      <c r="F33" s="72"/>
    </row>
    <row r="34" spans="1:6">
      <c r="A34" s="1552" t="str">
        <f>+'DAP1'!A46</f>
        <v>Formulář zpracovala ASPEKT HM, daňová, účetní a auditorská kancelář, www.danovapriznani.cz, business.center.cz</v>
      </c>
      <c r="B34" s="1574"/>
      <c r="C34" s="1574"/>
      <c r="D34" s="1574"/>
      <c r="E34" s="1574"/>
      <c r="F34" s="1574"/>
    </row>
    <row r="35" spans="1:6">
      <c r="A35" s="1575" t="s">
        <v>2577</v>
      </c>
      <c r="B35" s="1575"/>
      <c r="C35" s="1575"/>
      <c r="D35" s="1575"/>
      <c r="E35" s="1575"/>
      <c r="F35" s="1575"/>
    </row>
    <row r="36" spans="1:6">
      <c r="A36" s="1551" t="s">
        <v>275</v>
      </c>
      <c r="B36" s="1551"/>
      <c r="C36" s="1551"/>
      <c r="D36" s="1551"/>
      <c r="E36" s="1551"/>
      <c r="F36" s="1551"/>
    </row>
    <row r="37" spans="1:6" ht="13.5" customHeight="1">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sheetData>
  <sheetProtection algorithmName="SHA-512" hashValue="UCzZkIXaIavNJBS7M0/ZLyn2QQyR01uCsPaYW2oXzpE0cYyvFQoMvE5WPoQfXxFVDtRPPLv96lEdTLP+TE26RQ==" saltValue="6OQzPHTjNDnHmF2gM7oKmg=="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phoneticPr fontId="11" type="noConversion"/>
  <dataValidations count="1">
    <dataValidation type="list" allowBlank="1" showInputMessage="1" showErrorMessage="1" errorTitle="Stát není v seznamu" sqref="C10:C25" xr:uid="{00000000-0002-0000-1200-000000000000}">
      <formula1>staty</formula1>
    </dataValidation>
  </dataValidations>
  <printOptions horizontalCentered="1" verticalCentered="1"/>
  <pageMargins left="0.39370078740157483" right="0.39370078740157483" top="0.39370078740157483" bottom="0.39370078740157483"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Normal="100" workbookViewId="0">
      <selection activeCell="B41" sqref="B41"/>
    </sheetView>
  </sheetViews>
  <sheetFormatPr defaultColWidth="6.7109375" defaultRowHeight="12.75"/>
  <cols>
    <col min="1" max="1" width="17.140625" style="605" bestFit="1" customWidth="1"/>
    <col min="2" max="2" width="9.85546875" style="605" bestFit="1" customWidth="1"/>
    <col min="3" max="3" width="15" style="605" bestFit="1" customWidth="1"/>
    <col min="4" max="4" width="5.140625" style="605" customWidth="1"/>
    <col min="5" max="5" width="16.140625" style="605" bestFit="1" customWidth="1"/>
    <col min="6" max="6" width="4.7109375" style="605" bestFit="1" customWidth="1"/>
    <col min="7" max="7" width="4.140625" style="605" bestFit="1" customWidth="1"/>
    <col min="8" max="8" width="5.7109375" style="605" customWidth="1"/>
    <col min="9" max="9" width="16.140625" style="605" bestFit="1" customWidth="1"/>
    <col min="10" max="10" width="4.7109375" style="605" customWidth="1"/>
    <col min="11" max="11" width="15" style="605" bestFit="1" customWidth="1"/>
    <col min="12" max="12" width="8" style="605" customWidth="1"/>
    <col min="13" max="13" width="16.85546875" style="605" bestFit="1" customWidth="1"/>
    <col min="14" max="14" width="5.7109375" style="605" bestFit="1" customWidth="1"/>
    <col min="15" max="15" width="6.85546875" style="605" bestFit="1" customWidth="1"/>
    <col min="16" max="16" width="6.7109375" style="605"/>
    <col min="17" max="17" width="14.28515625" style="605" customWidth="1"/>
    <col min="18" max="18" width="15.5703125" style="605" bestFit="1" customWidth="1"/>
    <col min="19" max="19" width="15" style="605" bestFit="1" customWidth="1"/>
    <col min="20" max="20" width="15.85546875" style="605" bestFit="1" customWidth="1"/>
    <col min="21" max="22" width="16.85546875" style="605" bestFit="1" customWidth="1"/>
    <col min="23" max="23" width="16.42578125" style="605" bestFit="1" customWidth="1"/>
    <col min="24" max="24" width="14.5703125" style="605" bestFit="1" customWidth="1"/>
    <col min="25" max="25" width="13.140625" style="605" bestFit="1" customWidth="1"/>
    <col min="26" max="27" width="14.140625" style="605" bestFit="1" customWidth="1"/>
    <col min="28" max="28" width="10.5703125" style="605" bestFit="1" customWidth="1"/>
    <col min="29" max="29" width="9.28515625" style="605" bestFit="1" customWidth="1"/>
    <col min="30" max="30" width="8.7109375" style="605" bestFit="1" customWidth="1"/>
    <col min="31" max="31" width="8.85546875" style="605" bestFit="1" customWidth="1"/>
    <col min="32" max="32" width="6.7109375" style="605"/>
    <col min="33" max="34" width="3.85546875" style="605" bestFit="1" customWidth="1"/>
    <col min="35" max="35" width="9" style="605" bestFit="1" customWidth="1"/>
    <col min="36" max="36" width="10.28515625" style="605" bestFit="1" customWidth="1"/>
    <col min="37" max="37" width="12" style="605" bestFit="1" customWidth="1"/>
    <col min="38" max="38" width="11" style="605" bestFit="1" customWidth="1"/>
    <col min="39" max="39" width="11.140625" style="605" bestFit="1" customWidth="1"/>
    <col min="40" max="41" width="6.7109375" style="605"/>
    <col min="42" max="42" width="9.28515625" style="605" bestFit="1" customWidth="1"/>
    <col min="43" max="43" width="8.140625" style="605" bestFit="1" customWidth="1"/>
    <col min="44" max="44" width="9.28515625" style="605" bestFit="1" customWidth="1"/>
    <col min="45" max="45" width="8.7109375" style="605" bestFit="1" customWidth="1"/>
    <col min="46" max="46" width="8.85546875" style="605" bestFit="1" customWidth="1"/>
    <col min="47" max="47" width="6.7109375" style="605"/>
    <col min="48" max="50" width="3.85546875" style="605" bestFit="1" customWidth="1"/>
    <col min="51" max="51" width="9" style="605" bestFit="1" customWidth="1"/>
    <col min="52" max="52" width="10.28515625" style="605" bestFit="1" customWidth="1"/>
    <col min="53" max="53" width="12" style="605" bestFit="1" customWidth="1"/>
    <col min="54" max="54" width="11" style="605" bestFit="1" customWidth="1"/>
    <col min="55" max="55" width="11.140625" style="605" bestFit="1" customWidth="1"/>
    <col min="56" max="16384" width="6.7109375" style="605"/>
  </cols>
  <sheetData>
    <row r="1" spans="1:27">
      <c r="A1" s="604" t="s">
        <v>323</v>
      </c>
      <c r="E1" s="605" t="s">
        <v>393</v>
      </c>
      <c r="I1" s="605" t="s">
        <v>440</v>
      </c>
      <c r="M1" s="605" t="s">
        <v>461</v>
      </c>
      <c r="Q1" s="605" t="s">
        <v>479</v>
      </c>
      <c r="R1" s="607" t="s">
        <v>2336</v>
      </c>
      <c r="S1" s="607" t="s">
        <v>478</v>
      </c>
      <c r="T1" s="605" t="s">
        <v>480</v>
      </c>
      <c r="U1" s="605" t="s">
        <v>2337</v>
      </c>
      <c r="V1" s="605" t="s">
        <v>2338</v>
      </c>
      <c r="W1" s="607" t="s">
        <v>481</v>
      </c>
      <c r="X1" s="607" t="s">
        <v>482</v>
      </c>
      <c r="Y1" s="606" t="s">
        <v>483</v>
      </c>
      <c r="Z1" s="606" t="s">
        <v>2335</v>
      </c>
      <c r="AA1" s="606" t="s">
        <v>2334</v>
      </c>
    </row>
    <row r="2" spans="1:27">
      <c r="A2" s="606" t="s">
        <v>324</v>
      </c>
      <c r="B2" s="607" t="str">
        <f>IF('DAP1'!J19&lt;&gt;"","A",IF('DAP1'!L19&lt;&gt;"","N",""))</f>
        <v>N</v>
      </c>
      <c r="C2" s="605" t="s">
        <v>2214</v>
      </c>
      <c r="E2" s="606" t="s">
        <v>394</v>
      </c>
      <c r="F2" s="607" t="str">
        <f>IF(ZAKL_DATA!B26&lt;&gt;"",ZAKL_DATA!B26,"")</f>
        <v/>
      </c>
      <c r="G2" s="605" t="s">
        <v>2215</v>
      </c>
      <c r="I2" s="606" t="s">
        <v>441</v>
      </c>
      <c r="J2" s="608">
        <f>'6Př'!E20</f>
        <v>0</v>
      </c>
      <c r="M2" s="606" t="s">
        <v>462</v>
      </c>
      <c r="N2" s="608">
        <f>'DAP2'!F34</f>
        <v>0</v>
      </c>
      <c r="O2" s="605" t="s">
        <v>2215</v>
      </c>
      <c r="R2" s="607" t="str">
        <f>IF('DAP3'!D17&lt;&gt;"",CONCATENATE(MID('DAP3'!D17,5,2),".",IF(VALUE(MID('DAP3'!D17,3,2))&lt;13,MID('DAP3'!D17,3,2),MID('DAP3'!D17,3,2)-50),".",IF(MID('DAP3'!D17,1,2)&lt;"50","20","19"),MID('DAP3'!D17,1,2)),"")</f>
        <v/>
      </c>
      <c r="S2" s="607" t="e">
        <f>IF('DAP3'!B17&lt;&gt;"XXX",MID('DAP3'!B17,(FIND(" ",'DAP3'!B17,1))+1,LEN('DAP3'!B17)),"")</f>
        <v>#VALUE!</v>
      </c>
      <c r="T2" s="605" t="str">
        <f>IF('DAP3'!F17&lt;&gt;"",'DAP3'!F17,"")</f>
        <v/>
      </c>
      <c r="U2" s="605" t="str">
        <f>IF('DAP3'!H17&lt;&gt;"",'DAP3'!H17,"")</f>
        <v/>
      </c>
      <c r="V2" s="605" t="str">
        <f>IF('DAP3'!J17&lt;&gt;"",'DAP3'!J17,"")</f>
        <v/>
      </c>
      <c r="W2" s="607" t="e">
        <f>IF('DAP3'!B17&lt;&gt;"XXX",LEFT('DAP3'!B17,(FIND(" ",'DAP3'!B17,1))-1),"")</f>
        <v>#VALUE!</v>
      </c>
      <c r="X2" s="607" t="str">
        <f>IF('DAP3'!D17&lt;&gt;"",'DAP3'!D17,"")</f>
        <v/>
      </c>
      <c r="Y2" s="605" t="str">
        <f>IF('DAP3'!G17&lt;&gt;"",'DAP3'!G17,"")</f>
        <v/>
      </c>
      <c r="Z2" s="605" t="str">
        <f>IF('DAP3'!I17&lt;&gt;"",'DAP3'!I17,"")</f>
        <v/>
      </c>
      <c r="AA2" s="605" t="str">
        <f>IF('DAP3'!K17&lt;&gt;"",'DAP3'!K17,"")</f>
        <v/>
      </c>
    </row>
    <row r="3" spans="1:27">
      <c r="A3" s="606" t="s">
        <v>325</v>
      </c>
      <c r="B3" s="605" t="e">
        <f>VLOOKUP(ZAKL_DATA!B13,FU!B3:C17,2,FALSE)</f>
        <v>#N/A</v>
      </c>
      <c r="E3" s="606" t="s">
        <v>395</v>
      </c>
      <c r="I3" s="606" t="s">
        <v>442</v>
      </c>
      <c r="J3" s="608">
        <f>'6Př'!F20</f>
        <v>0</v>
      </c>
      <c r="M3" s="606" t="s">
        <v>463</v>
      </c>
      <c r="N3" s="608">
        <f>'DAP2'!F27</f>
        <v>0</v>
      </c>
      <c r="O3" s="605" t="s">
        <v>2215</v>
      </c>
      <c r="R3" s="607" t="str">
        <f>IF('DAP3'!D18&lt;&gt;"",CONCATENATE(MID('DAP3'!D18,5,2),".",IF(VALUE(MID('DAP3'!D18,3,2))&lt;13,MID('DAP3'!D18,3,2),MID('DAP3'!D18,3,2)-50),".",IF(MID('DAP3'!D18,1,2)&lt;"50","20","19"),MID('DAP3'!D18,1,2)),"")</f>
        <v/>
      </c>
      <c r="S3" s="607" t="e">
        <f>IF('DAP3'!B18&lt;&gt;"XXX",MID('DAP3'!B18,(FIND(" ",'DAP3'!B18,1))+1,LEN('DAP3'!B18)),"")</f>
        <v>#VALUE!</v>
      </c>
      <c r="T3" s="605" t="str">
        <f>IF('DAP3'!F18&lt;&gt;"",'DAP3'!F18,"")</f>
        <v/>
      </c>
      <c r="U3" s="605" t="str">
        <f>IF('DAP3'!H18&lt;&gt;"",'DAP3'!H18,"")</f>
        <v/>
      </c>
      <c r="V3" s="605" t="str">
        <f>IF('DAP3'!J18&lt;&gt;"",'DAP3'!J18,"")</f>
        <v/>
      </c>
      <c r="W3" s="607" t="e">
        <f>IF('DAP3'!B18&lt;&gt;"XXX",LEFT('DAP3'!B18,(FIND(" ",'DAP3'!B18,1))-1),"")</f>
        <v>#VALUE!</v>
      </c>
      <c r="X3" s="607" t="str">
        <f>IF('DAP3'!D18&lt;&gt;"",'DAP3'!D18,"")</f>
        <v/>
      </c>
      <c r="Y3" s="605" t="str">
        <f>IF('DAP3'!G18&lt;&gt;"",'DAP3'!G18,"")</f>
        <v/>
      </c>
      <c r="Z3" s="605" t="str">
        <f>IF('DAP3'!I18&lt;&gt;"",'DAP3'!I18,"")</f>
        <v/>
      </c>
      <c r="AA3" s="605" t="str">
        <f>IF('DAP3'!K18&lt;&gt;"",'DAP3'!K18,"")</f>
        <v/>
      </c>
    </row>
    <row r="4" spans="1:27">
      <c r="A4" s="606" t="s">
        <v>326</v>
      </c>
      <c r="B4" s="607" t="str">
        <f>IF('DAP1'!K15&lt;&gt;"",TEXT('DAP1'!K15,"DD.MM.RRRR"),"")</f>
        <v/>
      </c>
      <c r="C4" s="609"/>
      <c r="E4" s="606" t="s">
        <v>396</v>
      </c>
      <c r="F4" s="607" t="str">
        <f>IF(ISNUMBER(FIND("/",ZAKL_DATA!B17)),MID(ZAKL_DATA!B17,(FIND("/",ZAKL_DATA!B17,1))+1,LEN(ZAKL_DATA!B17)),"")</f>
        <v/>
      </c>
      <c r="G4" s="605" t="s">
        <v>2215</v>
      </c>
      <c r="I4" s="606" t="s">
        <v>443</v>
      </c>
      <c r="J4" s="608">
        <f>'DAP2'!E6</f>
        <v>0</v>
      </c>
      <c r="K4" s="605" t="s">
        <v>2215</v>
      </c>
      <c r="M4" s="606" t="s">
        <v>464</v>
      </c>
      <c r="N4" s="608">
        <f>'DAP2'!F31</f>
        <v>0</v>
      </c>
      <c r="O4" s="605" t="s">
        <v>2215</v>
      </c>
      <c r="R4" s="607" t="str">
        <f>IF('DAP3'!D19&lt;&gt;"",CONCATENATE(MID('DAP3'!D19,5,2),".",IF(VALUE(MID('DAP3'!D19,3,2))&lt;13,MID('DAP3'!D19,3,2),MID('DAP3'!D19,3,2)-50),".",IF(MID('DAP3'!D19,1,2)&lt;"50","20","19"),MID('DAP3'!D19,1,2)),"")</f>
        <v/>
      </c>
      <c r="S4" s="607" t="e">
        <f>IF('DAP3'!B19&lt;&gt;"XXX",MID('DAP3'!B19,(FIND(" ",'DAP3'!B19,1))+1,LEN('DAP3'!B19)),"")</f>
        <v>#VALUE!</v>
      </c>
      <c r="T4" s="605" t="str">
        <f>IF('DAP3'!F19&lt;&gt;"",'DAP3'!F19,"")</f>
        <v/>
      </c>
      <c r="U4" s="605" t="str">
        <f>IF('DAP3'!H19&lt;&gt;"",'DAP3'!H19,"")</f>
        <v/>
      </c>
      <c r="V4" s="605" t="str">
        <f>IF('DAP3'!J19&lt;&gt;"",'DAP3'!J19,"")</f>
        <v/>
      </c>
      <c r="W4" s="607" t="e">
        <f>IF('DAP3'!B19&lt;&gt;"XXX",LEFT('DAP3'!B19,(FIND(" ",'DAP3'!B19,1))-1),"")</f>
        <v>#VALUE!</v>
      </c>
      <c r="X4" s="607" t="str">
        <f>IF('DAP3'!D19&lt;&gt;"",'DAP3'!D19,"")</f>
        <v/>
      </c>
      <c r="Y4" s="605" t="str">
        <f>IF('DAP3'!G19&lt;&gt;"",'DAP3'!G19,"")</f>
        <v/>
      </c>
      <c r="Z4" s="605" t="str">
        <f>IF('DAP3'!I19&lt;&gt;"",'DAP3'!I19,"")</f>
        <v/>
      </c>
      <c r="AA4" s="605" t="str">
        <f>IF('DAP3'!K19&lt;&gt;"",'DAP3'!K19,"")</f>
        <v/>
      </c>
    </row>
    <row r="5" spans="1:27">
      <c r="A5" s="606" t="s">
        <v>327</v>
      </c>
      <c r="B5" s="607" t="str">
        <f ca="1">TEXT('DAP4'!A43,"DD.MM.RRRR")</f>
        <v>13.03.2026</v>
      </c>
      <c r="C5" s="605" t="s">
        <v>2215</v>
      </c>
      <c r="E5" s="606" t="s">
        <v>397</v>
      </c>
      <c r="F5" s="607" t="str">
        <f>IF('DAP1'!J29&lt;&gt;"",'DAP1'!J29,"")</f>
        <v/>
      </c>
      <c r="G5" s="605" t="s">
        <v>2215</v>
      </c>
      <c r="I5" s="606" t="s">
        <v>444</v>
      </c>
      <c r="J5" s="608">
        <f>'DAP2'!E5</f>
        <v>0</v>
      </c>
      <c r="K5" s="605" t="s">
        <v>2215</v>
      </c>
      <c r="M5" s="606" t="s">
        <v>465</v>
      </c>
      <c r="N5" s="608">
        <f>'DAP2'!F24</f>
        <v>0</v>
      </c>
      <c r="O5" s="605" t="s">
        <v>2215</v>
      </c>
      <c r="R5" s="607" t="str">
        <f>IF('DAP3'!D20&lt;&gt;"",CONCATENATE(MID('DAP3'!D20,5,2),".",IF(VALUE(MID('DAP3'!D20,3,2))&lt;13,MID('DAP3'!D20,3,2),MID('DAP3'!D20,3,2)-50),".",IF(MID('DAP3'!D20,1,2)&lt;"50","20","19"),MID('DAP3'!D20,1,2)),"")</f>
        <v/>
      </c>
      <c r="S5" s="607" t="e">
        <f>IF('DAP3'!B20&lt;&gt;"XXX",MID('DAP3'!B20,(FIND(" ",'DAP3'!B20,1))+1,LEN('DAP3'!B20)),"")</f>
        <v>#VALUE!</v>
      </c>
      <c r="T5" s="605" t="str">
        <f>IF('DAP3'!F20&lt;&gt;"",'DAP3'!F20,"")</f>
        <v/>
      </c>
      <c r="U5" s="605" t="str">
        <f>IF('DAP3'!H20&lt;&gt;"",'DAP3'!H20,"")</f>
        <v/>
      </c>
      <c r="V5" s="605" t="str">
        <f>IF('DAP3'!J20&lt;&gt;"",'DAP3'!J20,"")</f>
        <v/>
      </c>
      <c r="W5" s="607" t="e">
        <f>IF('DAP3'!B20&lt;&gt;"XXX",LEFT('DAP3'!B20,(FIND(" ",'DAP3'!B20,1))-1),"")</f>
        <v>#VALUE!</v>
      </c>
      <c r="X5" s="607" t="str">
        <f>IF('DAP3'!D20&lt;&gt;"",'DAP3'!D20,"")</f>
        <v/>
      </c>
      <c r="Y5" s="605" t="str">
        <f>IF('DAP3'!G20&lt;&gt;"",'DAP3'!G20,"")</f>
        <v/>
      </c>
      <c r="Z5" s="605" t="str">
        <f>IF('DAP3'!I20&lt;&gt;"",'DAP3'!I20,"")</f>
        <v/>
      </c>
      <c r="AA5" s="605" t="str">
        <f>IF('DAP3'!K20&lt;&gt;"",'DAP3'!K20,"")</f>
        <v/>
      </c>
    </row>
    <row r="6" spans="1:27">
      <c r="A6" s="606" t="s">
        <v>328</v>
      </c>
      <c r="B6" s="607" t="str">
        <f>IF('DAP1'!K13&gt;0,TEXT('DAP1'!K13,"DD.MM.RRRR"),"")</f>
        <v/>
      </c>
      <c r="C6" s="605" t="s">
        <v>2215</v>
      </c>
      <c r="E6" s="606" t="s">
        <v>398</v>
      </c>
      <c r="F6" s="605" t="str">
        <f>IF(IF(ISNUMBER(FIND("/",ZAKL_DATA!B17)),LEFT(ZAKL_DATA!B17,(FIND("/",ZAKL_DATA!B17,1))-1),ZAKL_DATA!B17)&lt;&gt;0,IF(ISNUMBER(FIND("/",ZAKL_DATA!B17)),LEFT(ZAKL_DATA!B17,(FIND("/",ZAKL_DATA!B17,1))-1),ZAKL_DATA!B17),"")</f>
        <v/>
      </c>
      <c r="G6" s="605" t="s">
        <v>2215</v>
      </c>
      <c r="I6" s="606" t="s">
        <v>445</v>
      </c>
      <c r="K6" s="605" t="s">
        <v>2218</v>
      </c>
      <c r="M6" s="606" t="s">
        <v>466</v>
      </c>
      <c r="N6" s="608">
        <f>'DAP2'!F25</f>
        <v>0</v>
      </c>
      <c r="O6" s="605" t="s">
        <v>2215</v>
      </c>
    </row>
    <row r="7" spans="1:27">
      <c r="A7" s="606" t="s">
        <v>329</v>
      </c>
      <c r="B7" s="608">
        <f>'DAP2'!F38</f>
        <v>0</v>
      </c>
      <c r="C7" s="605" t="s">
        <v>2215</v>
      </c>
      <c r="E7" s="606" t="s">
        <v>399</v>
      </c>
      <c r="F7" s="605" t="e">
        <f>VLOOKUP(ZAKL_DATA!B14,FU!E3:F204,2,FALSE)</f>
        <v>#N/A</v>
      </c>
      <c r="G7" s="605" t="s">
        <v>2215</v>
      </c>
      <c r="I7" s="606" t="s">
        <v>446</v>
      </c>
      <c r="J7" s="608">
        <f>'DAP2'!E4</f>
        <v>0</v>
      </c>
      <c r="K7" s="605" t="s">
        <v>2215</v>
      </c>
      <c r="M7" s="606" t="s">
        <v>467</v>
      </c>
      <c r="N7" s="608">
        <f>'DAP2'!F26</f>
        <v>0</v>
      </c>
      <c r="O7" s="605" t="s">
        <v>2215</v>
      </c>
      <c r="R7" s="610"/>
      <c r="S7" s="605" t="s">
        <v>2215</v>
      </c>
      <c r="T7" s="605" t="s">
        <v>2215</v>
      </c>
      <c r="U7" s="605" t="s">
        <v>2215</v>
      </c>
      <c r="V7" s="605" t="s">
        <v>2215</v>
      </c>
    </row>
    <row r="8" spans="1:27">
      <c r="A8" s="606" t="s">
        <v>330</v>
      </c>
      <c r="B8" s="608">
        <f>'DAP2'!F41</f>
        <v>0</v>
      </c>
      <c r="C8" s="605" t="s">
        <v>2215</v>
      </c>
      <c r="E8" s="606" t="s">
        <v>400</v>
      </c>
      <c r="F8" s="607" t="str">
        <f>IF(ZAKL_DATA!B25&lt;&gt;"",ZAKL_DATA!B25,"")</f>
        <v/>
      </c>
      <c r="G8" s="605" t="s">
        <v>2215</v>
      </c>
      <c r="I8" s="606" t="s">
        <v>447</v>
      </c>
      <c r="J8" s="608">
        <f>'DAP2'!E17</f>
        <v>0</v>
      </c>
      <c r="K8" s="605" t="s">
        <v>2215</v>
      </c>
      <c r="M8" s="606" t="s">
        <v>468</v>
      </c>
      <c r="N8" s="608">
        <f>'DAP2'!F22</f>
        <v>0</v>
      </c>
      <c r="O8" s="605" t="s">
        <v>2215</v>
      </c>
    </row>
    <row r="9" spans="1:27">
      <c r="A9" s="606" t="s">
        <v>331</v>
      </c>
      <c r="B9" s="608">
        <f>'DAP3'!E12</f>
        <v>0</v>
      </c>
      <c r="C9" s="605" t="s">
        <v>2215</v>
      </c>
      <c r="E9" s="606" t="s">
        <v>401</v>
      </c>
      <c r="F9" s="607" t="str">
        <f>MID(ZAKL_DATA!D2,3,10)</f>
        <v/>
      </c>
      <c r="G9" s="605" t="s">
        <v>2215</v>
      </c>
      <c r="I9" s="606" t="s">
        <v>448</v>
      </c>
      <c r="J9" s="608">
        <f>'DAP2'!E8</f>
        <v>0</v>
      </c>
      <c r="K9" s="605" t="s">
        <v>2215</v>
      </c>
      <c r="M9" s="606" t="s">
        <v>469</v>
      </c>
      <c r="N9" s="608">
        <f>'DAP2'!F23</f>
        <v>0</v>
      </c>
      <c r="O9" s="605" t="s">
        <v>2215</v>
      </c>
    </row>
    <row r="10" spans="1:27">
      <c r="A10" s="606" t="s">
        <v>332</v>
      </c>
      <c r="B10" s="608">
        <f>'DAP3'!D26</f>
        <v>0</v>
      </c>
      <c r="C10" s="605" t="s">
        <v>2215</v>
      </c>
      <c r="E10" s="606" t="s">
        <v>402</v>
      </c>
      <c r="F10" s="607" t="str">
        <f>IF(ZAKL_DATA!B27&lt;&gt;"",ZAKL_DATA!B27,"")</f>
        <v/>
      </c>
      <c r="G10" s="605" t="s">
        <v>2215</v>
      </c>
      <c r="I10" s="606" t="s">
        <v>449</v>
      </c>
      <c r="J10" s="608">
        <f>'DAP2'!E15</f>
        <v>0</v>
      </c>
      <c r="K10" s="605" t="s">
        <v>2215</v>
      </c>
      <c r="M10" s="606" t="s">
        <v>470</v>
      </c>
      <c r="N10" s="608">
        <f>'DAP2'!F28</f>
        <v>0</v>
      </c>
      <c r="O10" s="605" t="s">
        <v>2215</v>
      </c>
    </row>
    <row r="11" spans="1:27">
      <c r="A11" s="606" t="s">
        <v>333</v>
      </c>
      <c r="B11" s="611">
        <f>'DAP2'!F36</f>
        <v>0</v>
      </c>
      <c r="C11" s="605" t="s">
        <v>2215</v>
      </c>
      <c r="E11" s="606" t="s">
        <v>403</v>
      </c>
      <c r="F11" s="607" t="str">
        <f>IF(ZAKL_DATA!B4&lt;&gt;"",ZAKL_DATA!B4,"")</f>
        <v/>
      </c>
      <c r="G11" s="605" t="s">
        <v>2215</v>
      </c>
      <c r="I11" s="606" t="s">
        <v>450</v>
      </c>
      <c r="J11" s="608" t="e">
        <f>'DAP2'!#REF!</f>
        <v>#REF!</v>
      </c>
      <c r="K11" s="605" t="s">
        <v>2215</v>
      </c>
      <c r="M11" s="606" t="s">
        <v>471</v>
      </c>
      <c r="N11" s="608">
        <f>'DAP2'!F29</f>
        <v>0</v>
      </c>
      <c r="O11" s="605" t="s">
        <v>2215</v>
      </c>
    </row>
    <row r="12" spans="1:27">
      <c r="A12" s="606" t="s">
        <v>334</v>
      </c>
      <c r="B12" s="607" t="str">
        <f>IF(AND('DAP1'!A13&lt;&gt;"",'DAP1'!C13&lt;&gt;"",'DAP1'!E13=""),"O",IF(AND('DAP1'!A13&lt;&gt;"",'DAP1'!C13="",'DAP1'!E13=""),"B",IF(AND('DAP1'!A13="",'DAP1'!C13&lt;&gt;"",'DAP1'!E13&lt;&gt;""),"E",IF(AND('DAP1'!A13="",'DAP1'!C13="",'DAP1'!E13&lt;&gt;""),"D",""))))</f>
        <v>B</v>
      </c>
      <c r="C12" s="605" t="s">
        <v>2215</v>
      </c>
      <c r="E12" s="606" t="s">
        <v>404</v>
      </c>
      <c r="F12" s="607" t="str">
        <f>IF(AND(ZAKL_DATA!B20&lt;&gt;"",ZAKL_DATA!B20&lt;&gt;0),IF(ZAKL_DATA!B20&lt;&gt;"ČESKÁ REPUBLIKA",VLOOKUP(ZAKL_DATA!B20,FU!J3:K253,2,FALSE),"CZ"),"CZ")</f>
        <v>CZ</v>
      </c>
      <c r="G12" s="605" t="s">
        <v>2215</v>
      </c>
      <c r="I12" s="606" t="s">
        <v>451</v>
      </c>
      <c r="J12" s="608" t="e">
        <f>'DAP2'!#REF!</f>
        <v>#REF!</v>
      </c>
      <c r="K12" s="605" t="s">
        <v>2215</v>
      </c>
      <c r="M12" s="606" t="s">
        <v>472</v>
      </c>
      <c r="N12" s="608">
        <f>'DAP2'!F29</f>
        <v>0</v>
      </c>
      <c r="O12" s="605" t="s">
        <v>2215</v>
      </c>
    </row>
    <row r="13" spans="1:27">
      <c r="A13" s="606" t="s">
        <v>335</v>
      </c>
      <c r="B13" s="607" t="s">
        <v>2704</v>
      </c>
      <c r="C13" s="605" t="s">
        <v>2216</v>
      </c>
      <c r="E13" s="606" t="s">
        <v>405</v>
      </c>
      <c r="I13" s="606" t="s">
        <v>452</v>
      </c>
      <c r="J13" s="608">
        <f>'DAP2'!E19</f>
        <v>0</v>
      </c>
      <c r="K13" s="605" t="s">
        <v>2215</v>
      </c>
      <c r="M13" s="606" t="s">
        <v>473</v>
      </c>
      <c r="N13" s="608">
        <f>'DAP2'!F32</f>
        <v>0</v>
      </c>
      <c r="O13" s="605" t="s">
        <v>2215</v>
      </c>
    </row>
    <row r="14" spans="1:27">
      <c r="A14" s="606" t="s">
        <v>336</v>
      </c>
      <c r="B14" s="607" t="str">
        <f>IF(OR('DAP1'!A15="i",'DAP1'!A15="I"),"I",IF(OR('DAP1'!A15="g",'DAP1'!A15="G"),"G",""))</f>
        <v/>
      </c>
      <c r="C14" s="605" t="s">
        <v>2215</v>
      </c>
      <c r="E14" s="606" t="s">
        <v>406</v>
      </c>
      <c r="F14" s="607" t="str">
        <f>IF(ISNUMBER(FIND("/",'DAP1'!J35)),MID('DAP1'!J35,(FIND("/",'DAP1'!J35,1))+1,LEN('DAP1'!J35)),"")</f>
        <v/>
      </c>
      <c r="I14" s="606" t="s">
        <v>453</v>
      </c>
      <c r="J14" s="608">
        <f>'DAP2'!E16</f>
        <v>0</v>
      </c>
      <c r="K14" s="605" t="s">
        <v>2215</v>
      </c>
      <c r="M14" s="606" t="s">
        <v>474</v>
      </c>
      <c r="N14" s="608">
        <f>'DAP2'!F33</f>
        <v>0</v>
      </c>
      <c r="O14" s="605" t="s">
        <v>2215</v>
      </c>
      <c r="Y14" s="612"/>
    </row>
    <row r="15" spans="1:27">
      <c r="A15" s="606" t="s">
        <v>337</v>
      </c>
      <c r="B15" s="607" t="s">
        <v>2217</v>
      </c>
      <c r="C15" s="605" t="s">
        <v>2216</v>
      </c>
      <c r="E15" s="606" t="s">
        <v>407</v>
      </c>
      <c r="F15" s="605" t="str">
        <f>IF(IF(ISNUMBER(FIND("/",'DAP1'!J35)),LEFT('DAP1'!J35,(FIND("/",'DAP1'!J35,1))-1),'DAP1'!J35)&lt;&gt;0,IF(ISNUMBER(FIND("/",'DAP1'!J35)),LEFT('DAP1'!J35,(FIND("/",'DAP1'!J35,1))-1),'DAP1'!J35),"")</f>
        <v/>
      </c>
      <c r="I15" s="606" t="s">
        <v>454</v>
      </c>
      <c r="J15" s="608">
        <f>'DAP2'!E12</f>
        <v>0</v>
      </c>
      <c r="K15" s="605" t="s">
        <v>2215</v>
      </c>
      <c r="M15" s="606" t="s">
        <v>475</v>
      </c>
      <c r="N15" s="605">
        <f>'DAP2'!E29</f>
        <v>0</v>
      </c>
      <c r="O15" s="605" t="s">
        <v>2215</v>
      </c>
    </row>
    <row r="16" spans="1:27">
      <c r="A16" s="606" t="s">
        <v>338</v>
      </c>
      <c r="B16" s="605">
        <f>'DAP1'!K41</f>
        <v>0</v>
      </c>
      <c r="C16" s="605" t="s">
        <v>2215</v>
      </c>
      <c r="E16" s="606" t="s">
        <v>408</v>
      </c>
      <c r="F16" s="607" t="str">
        <f>IF('DAP1'!B35&lt;&gt;"",'DAP1'!B35,"")</f>
        <v/>
      </c>
      <c r="I16" s="606" t="s">
        <v>455</v>
      </c>
      <c r="J16" s="608">
        <f>'DAP2'!E14</f>
        <v>0</v>
      </c>
      <c r="K16" s="605" t="s">
        <v>2215</v>
      </c>
      <c r="M16" s="606" t="s">
        <v>476</v>
      </c>
      <c r="N16" s="605">
        <f>'DAP2'!E23</f>
        <v>0</v>
      </c>
      <c r="O16" s="605" t="s">
        <v>2215</v>
      </c>
    </row>
    <row r="17" spans="1:23">
      <c r="A17" s="606" t="s">
        <v>339</v>
      </c>
      <c r="B17" s="608">
        <f>'DAP3'!D29</f>
        <v>0</v>
      </c>
      <c r="C17" s="605" t="s">
        <v>2215</v>
      </c>
      <c r="E17" s="606" t="s">
        <v>409</v>
      </c>
      <c r="F17" s="607" t="str">
        <f>IF('DAP1'!L35&lt;&gt;"",'DAP1'!L35,"")</f>
        <v/>
      </c>
      <c r="I17" s="606" t="s">
        <v>456</v>
      </c>
      <c r="J17" s="608">
        <f>'DAP2'!E10</f>
        <v>0</v>
      </c>
      <c r="K17" s="605" t="s">
        <v>2215</v>
      </c>
      <c r="M17" s="606" t="s">
        <v>477</v>
      </c>
      <c r="N17" s="607">
        <f>'DAP2'!C29</f>
        <v>0</v>
      </c>
      <c r="O17" s="605" t="s">
        <v>2215</v>
      </c>
    </row>
    <row r="18" spans="1:23">
      <c r="A18" s="606" t="s">
        <v>340</v>
      </c>
      <c r="B18" s="608">
        <f>'DAP3'!D23</f>
        <v>0</v>
      </c>
      <c r="C18" s="605" t="s">
        <v>2215</v>
      </c>
      <c r="E18" s="606" t="s">
        <v>410</v>
      </c>
      <c r="F18" s="607" t="str">
        <f>IF('DAP1'!G35&lt;&gt;"",'DAP1'!G35,"")</f>
        <v/>
      </c>
      <c r="I18" s="606" t="s">
        <v>457</v>
      </c>
      <c r="J18" s="608">
        <f>'DAP2'!E7</f>
        <v>0</v>
      </c>
      <c r="K18" s="605" t="s">
        <v>2215</v>
      </c>
      <c r="M18" s="605" t="s">
        <v>2698</v>
      </c>
      <c r="N18" s="608">
        <f>'DAP2'!F26</f>
        <v>0</v>
      </c>
    </row>
    <row r="19" spans="1:23">
      <c r="A19" s="606" t="s">
        <v>341</v>
      </c>
      <c r="B19" s="608">
        <f>'DAP3'!E9</f>
        <v>0</v>
      </c>
      <c r="C19" s="605" t="s">
        <v>2215</v>
      </c>
      <c r="E19" s="606" t="s">
        <v>411</v>
      </c>
      <c r="F19" s="607" t="str">
        <f>IF(ZAKL_DATA!B18&lt;&gt;"",ZAKL_DATA!B18,"")</f>
        <v/>
      </c>
      <c r="G19" s="605" t="s">
        <v>2215</v>
      </c>
      <c r="I19" s="606" t="s">
        <v>458</v>
      </c>
      <c r="J19" s="608">
        <f>'DAP2'!E11</f>
        <v>0</v>
      </c>
      <c r="K19" s="605" t="s">
        <v>2215</v>
      </c>
      <c r="M19" s="605" t="s">
        <v>2699</v>
      </c>
      <c r="N19" s="608">
        <f>'DAP2'!F27</f>
        <v>0</v>
      </c>
    </row>
    <row r="20" spans="1:23">
      <c r="A20" s="606" t="s">
        <v>342</v>
      </c>
      <c r="B20" s="608">
        <f>'DAP2'!F39</f>
        <v>0</v>
      </c>
      <c r="C20" s="605" t="s">
        <v>2215</v>
      </c>
      <c r="E20" s="606" t="s">
        <v>412</v>
      </c>
      <c r="F20" s="607" t="str">
        <f>IF(AND(ZAKL_DATA!D4&lt;&gt;"",ZAKL_DATA!D14&lt;&gt;"",'DAP4'!C30&lt;&gt;"4a",'DAP4'!C30&lt;&gt;"4b"),ZAKL_DATA!D14,"")</f>
        <v/>
      </c>
      <c r="G20" s="605" t="s">
        <v>2226</v>
      </c>
      <c r="I20" s="606" t="s">
        <v>459</v>
      </c>
      <c r="J20" s="608">
        <f>'DAP2'!E13</f>
        <v>0</v>
      </c>
      <c r="K20" s="605" t="s">
        <v>2215</v>
      </c>
      <c r="Q20" s="605" t="s">
        <v>559</v>
      </c>
      <c r="R20" s="606" t="s">
        <v>537</v>
      </c>
      <c r="S20" s="606" t="s">
        <v>538</v>
      </c>
      <c r="T20" s="606" t="s">
        <v>535</v>
      </c>
      <c r="U20" s="606" t="s">
        <v>539</v>
      </c>
    </row>
    <row r="21" spans="1:23">
      <c r="A21" s="606" t="s">
        <v>343</v>
      </c>
      <c r="B21" s="608">
        <f>'DAP3'!D47</f>
        <v>0</v>
      </c>
      <c r="C21" s="605" t="s">
        <v>2215</v>
      </c>
      <c r="E21" s="606" t="s">
        <v>413</v>
      </c>
      <c r="F21" s="607" t="str">
        <f>IF(AND(ZAKL_DATA!D4&lt;&gt;"",ZAKL_DATA!D17&lt;&gt;"",'DAP4'!C30&lt;&gt;"4a",'DAP4'!C30&lt;&gt;"4b"),ZAKL_DATA!D17,"")</f>
        <v/>
      </c>
      <c r="G21" s="605" t="s">
        <v>2226</v>
      </c>
      <c r="I21" s="606" t="s">
        <v>460</v>
      </c>
      <c r="J21" s="608">
        <f>'DAP2'!E18</f>
        <v>0</v>
      </c>
      <c r="K21" s="605" t="s">
        <v>2215</v>
      </c>
      <c r="R21" s="605" t="str">
        <f t="shared" ref="R21:R23" si="0">IF(ISNUMBER(W21),IF(VALUE(W21)&gt;99999,VALUE(W21),IF(VALUE(W21)&gt;9999,VALUE(W21)*10,IF(VALUE(W21)&gt;999,VALUE(W21)*100,IF(VALUE(W21)&gt;99,VALUE(W21)*1000,IF(VALUE(W21)&gt;9,VALUE(W21)*10000,VALUE(W21)*100000))))),"")</f>
        <v/>
      </c>
      <c r="S21" s="608" t="str">
        <f>IF('1Př1'!F32&lt;&gt;0,'1Př1'!F32,"")</f>
        <v/>
      </c>
      <c r="T21" s="605" t="str">
        <f>IF(AND('1Př1'!D32&lt;&gt;0,'1Př1'!D32&lt;&gt;""),100*'1Př1'!D32,"")</f>
        <v/>
      </c>
      <c r="U21" s="608" t="str">
        <f>IF(ISNUMBER(W21),'1Př1'!H32,"")</f>
        <v/>
      </c>
      <c r="W21" s="605" t="e">
        <f>UPPER(VLOOKUP('1Př1'!A32,FU!N3:O718,2,FALSE))</f>
        <v>#N/A</v>
      </c>
    </row>
    <row r="22" spans="1:23">
      <c r="A22" s="606" t="s">
        <v>344</v>
      </c>
      <c r="B22" s="608">
        <f>'DAP3'!E4</f>
        <v>0</v>
      </c>
      <c r="C22" s="605" t="s">
        <v>2215</v>
      </c>
      <c r="E22" s="606" t="s">
        <v>414</v>
      </c>
      <c r="F22" s="607" t="str">
        <f>IF(AND(ZAKL_DATA!D4&lt;&gt;"",ZAKL_DATA!D15&lt;&gt;"",'DAP4'!C30&lt;&gt;"4a",'DAP4'!C30&lt;&gt;"4b"),ZAKL_DATA!D15,"")</f>
        <v/>
      </c>
      <c r="G22" s="605" t="s">
        <v>2226</v>
      </c>
      <c r="R22" s="605" t="str">
        <f t="shared" si="0"/>
        <v/>
      </c>
      <c r="S22" s="608" t="str">
        <f>IF('1Př1'!F33&lt;&gt;0,'1Př1'!F33,"")</f>
        <v/>
      </c>
      <c r="T22" s="605" t="str">
        <f>IF(AND('1Př1'!D33&lt;&gt;0,'1Př1'!D33&lt;&gt;""),100*'1Př1'!D33,"")</f>
        <v/>
      </c>
      <c r="U22" s="608" t="str">
        <f>IF(ISNUMBER(W22),'1Př1'!H33,"")</f>
        <v/>
      </c>
      <c r="W22" s="605" t="e">
        <f>UPPER(VLOOKUP('1Př1'!A33,FU!N3:O718,2,FALSE))</f>
        <v>#N/A</v>
      </c>
    </row>
    <row r="23" spans="1:23">
      <c r="A23" s="606" t="s">
        <v>345</v>
      </c>
      <c r="B23" s="608">
        <f>'DAP3'!E2</f>
        <v>30840</v>
      </c>
      <c r="C23" s="605" t="s">
        <v>2215</v>
      </c>
      <c r="E23" s="606" t="s">
        <v>415</v>
      </c>
      <c r="F23" s="607" t="str">
        <f>IF(ZAKL_DATA!B5&lt;&gt;"",ZAKL_DATA!B5,"")</f>
        <v/>
      </c>
      <c r="G23" s="605" t="s">
        <v>2215</v>
      </c>
      <c r="R23" s="605" t="str">
        <f t="shared" si="0"/>
        <v/>
      </c>
      <c r="S23" s="608" t="str">
        <f>IF('1Př1'!F34&lt;&gt;0,'1Př1'!F34,"")</f>
        <v/>
      </c>
      <c r="T23" s="605" t="str">
        <f>IF(AND('1Př1'!D34&lt;&gt;0,'1Př1'!D34&lt;&gt;""),100*'1Př1'!D34,"")</f>
        <v/>
      </c>
      <c r="U23" s="608" t="str">
        <f>IF(ISNUMBER(W23),'1Př1'!H34,"")</f>
        <v/>
      </c>
      <c r="W23" s="605" t="e">
        <f>UPPER(VLOOKUP('1Př1'!A34,FU!N3:O718,2,FALSE))</f>
        <v>#N/A</v>
      </c>
    </row>
    <row r="24" spans="1:23">
      <c r="A24" s="606" t="s">
        <v>346</v>
      </c>
      <c r="B24" s="608">
        <f>'DAP3'!E3</f>
        <v>0</v>
      </c>
      <c r="C24" s="605" t="s">
        <v>2215</v>
      </c>
      <c r="E24" s="606" t="s">
        <v>416</v>
      </c>
      <c r="F24" s="607" t="str">
        <f>IF(ZAKL_DATA!B19&lt;&gt;"",ZAKL_DATA!B19,"")</f>
        <v/>
      </c>
      <c r="G24" s="605" t="s">
        <v>2215</v>
      </c>
      <c r="K24" s="605" t="e">
        <f>LEN(LEFT('DAP3'!#REF!,(FIND(" ",'DAP3'!#REF!,1))))</f>
        <v>#REF!</v>
      </c>
    </row>
    <row r="25" spans="1:23">
      <c r="A25" s="606" t="s">
        <v>347</v>
      </c>
      <c r="B25" s="608">
        <f>'DAP3'!E5</f>
        <v>0</v>
      </c>
      <c r="C25" s="605" t="s">
        <v>2215</v>
      </c>
      <c r="E25" s="606" t="s">
        <v>417</v>
      </c>
      <c r="F25" s="607" t="str">
        <f>IF(ZAKL_DATA!B9&lt;&gt;"",ZAKL_DATA!B9,"")</f>
        <v/>
      </c>
      <c r="G25" s="605" t="s">
        <v>2215</v>
      </c>
      <c r="K25" s="605" t="e">
        <f>FIND(" ",'DAP3'!#REF!,LEN(LEFT('DAP3'!#REF!,(FIND(" ",'DAP3'!#REF!,1))))+1)-1</f>
        <v>#REF!</v>
      </c>
      <c r="L25" s="605" t="e">
        <f>LEN('DAP3'!#REF!)-LEN(LEFT('DAP3'!#REF!,(FIND(" ",'DAP3'!#REF!,1))))</f>
        <v>#REF!</v>
      </c>
      <c r="R25" s="605" t="s">
        <v>2215</v>
      </c>
      <c r="S25" s="605" t="s">
        <v>2215</v>
      </c>
      <c r="T25" s="605" t="s">
        <v>2215</v>
      </c>
      <c r="U25" s="605" t="s">
        <v>2215</v>
      </c>
    </row>
    <row r="26" spans="1:23">
      <c r="A26" s="606" t="s">
        <v>348</v>
      </c>
      <c r="B26" s="608">
        <f>'DAP3'!E6</f>
        <v>0</v>
      </c>
      <c r="C26" s="605" t="s">
        <v>2215</v>
      </c>
      <c r="E26" s="606" t="s">
        <v>418</v>
      </c>
      <c r="F26" s="607" t="str">
        <f>IF(ZAKL_DATA!B6&lt;&gt;"",ZAKL_DATA!B6,"")</f>
        <v/>
      </c>
      <c r="G26" s="605" t="s">
        <v>2215</v>
      </c>
      <c r="K26" s="605" t="e">
        <f>LEFT('DAP3'!#REF!,(FIND(" ",'DAP3'!#REF!,1))-1)</f>
        <v>#REF!</v>
      </c>
      <c r="L26" s="605" t="e">
        <f>FIND(" ",'DAP3'!#REF!,LEN(LEFT('DAP3'!#REF!,(FIND(" ",'DAP3'!#REF!,1))))+1)-LEN(LEFT('DAP3'!#REF!,(FIND(" ",'DAP3'!#REF!,1))))</f>
        <v>#REF!</v>
      </c>
    </row>
    <row r="27" spans="1:23">
      <c r="A27" s="606" t="s">
        <v>349</v>
      </c>
      <c r="B27" s="608">
        <f>'DAP3'!E7</f>
        <v>0</v>
      </c>
      <c r="C27" s="605" t="s">
        <v>2215</v>
      </c>
      <c r="E27" s="606" t="s">
        <v>419</v>
      </c>
      <c r="F27" s="607"/>
      <c r="G27" s="605" t="s">
        <v>2219</v>
      </c>
      <c r="K27" s="605" t="e">
        <f>MID('DAP3'!#REF!,FIND(" ",'DAP3'!#REF!,LEN(LEFT('DAP3'!#REF!,(FIND(" ",'DAP3'!#REF!,1))))+1)+1,LEN('DAP3'!#REF!)-LEN(LEFT('DAP3'!#REF!,(FIND(" ",'DAP3'!#REF!,1))))+1)</f>
        <v>#REF!</v>
      </c>
    </row>
    <row r="28" spans="1:23">
      <c r="A28" s="606" t="s">
        <v>350</v>
      </c>
      <c r="B28" s="608">
        <f>'DAP3'!D42</f>
        <v>0</v>
      </c>
      <c r="C28" s="605" t="s">
        <v>2215</v>
      </c>
      <c r="E28" s="606" t="s">
        <v>420</v>
      </c>
      <c r="F28" s="607" t="str">
        <f>IF(AND(ZAKL_DATA!B20&lt;&gt;"ČESKÁ REPUBLIKA",ZAKL_DATA!B20&lt;&gt;""), VLOOKUP(ZAKL_DATA!B20,FU!J3:K253,2,FALSE), "")</f>
        <v/>
      </c>
      <c r="G28" s="605" t="s">
        <v>2215</v>
      </c>
    </row>
    <row r="29" spans="1:23">
      <c r="A29" s="606" t="s">
        <v>351</v>
      </c>
      <c r="B29" s="608"/>
      <c r="C29" s="605" t="s">
        <v>2218</v>
      </c>
      <c r="E29" s="606" t="s">
        <v>421</v>
      </c>
      <c r="F29" s="607" t="str">
        <f>IF(ZAKL_DATA!B7&lt;&gt;"",ZAKL_DATA!B7,"")</f>
        <v/>
      </c>
      <c r="G29" s="605" t="s">
        <v>2215</v>
      </c>
    </row>
    <row r="30" spans="1:23">
      <c r="A30" s="606" t="s">
        <v>352</v>
      </c>
      <c r="B30" s="608" t="str">
        <f>IF(AND('DAP3'!D33&lt;&gt;"",'DAP3'!D33&lt;&gt;0),'DAP3'!D33,"")</f>
        <v/>
      </c>
      <c r="C30" s="605" t="s">
        <v>2215</v>
      </c>
      <c r="E30" s="606" t="s">
        <v>422</v>
      </c>
      <c r="F30" s="607" t="str">
        <f>IF(ZAKL_DATA!B16&lt;&gt;"",ZAKL_DATA!B16,"")</f>
        <v/>
      </c>
      <c r="G30" s="605" t="s">
        <v>2215</v>
      </c>
      <c r="I30" s="605" t="s">
        <v>484</v>
      </c>
      <c r="M30" s="605" t="s">
        <v>506</v>
      </c>
    </row>
    <row r="31" spans="1:23">
      <c r="A31" s="606" t="s">
        <v>353</v>
      </c>
      <c r="B31" s="608" t="str">
        <f>IF(AND('DAP3'!D36&lt;&gt;"",'DAP3'!D36&lt;&gt;0),'DAP3'!D36,"")</f>
        <v/>
      </c>
      <c r="C31" s="605" t="s">
        <v>2215</v>
      </c>
      <c r="E31" s="606" t="s">
        <v>423</v>
      </c>
      <c r="F31" s="607" t="str">
        <f>IF(ISNUMBER('DAP1'!I39),'DAP1'!I39,"")</f>
        <v/>
      </c>
      <c r="I31" s="606" t="s">
        <v>485</v>
      </c>
      <c r="J31" s="605">
        <f>'DAP4'!K25</f>
        <v>0</v>
      </c>
      <c r="K31" s="605" t="s">
        <v>2215</v>
      </c>
      <c r="M31" s="606" t="s">
        <v>507</v>
      </c>
      <c r="N31" s="605" t="e">
        <f>IF(VALUE(O31)&gt;99999,VALUE(O31),IF(VALUE(O31)&gt;9999,VALUE(O31)*10,IF(VALUE(O31)&gt;999,VALUE(O31)*100,IF(VALUE(O31)&gt;99,VALUE(O31)*1000,IF(VALUE(O31)&gt;9,VALUE(O31)*10000,VALUE(O31)*100000)))))</f>
        <v>#N/A</v>
      </c>
      <c r="O31" s="605" t="e">
        <f>UPPER(VLOOKUP(ZAKL_DATA!B29,FU!N3:O1425,2,FALSE))</f>
        <v>#N/A</v>
      </c>
    </row>
    <row r="32" spans="1:23">
      <c r="A32" s="606" t="s">
        <v>354</v>
      </c>
      <c r="B32" s="608">
        <f>'DAP3'!D31</f>
        <v>0</v>
      </c>
      <c r="C32" s="605" t="s">
        <v>2215</v>
      </c>
      <c r="E32" s="606" t="s">
        <v>424</v>
      </c>
      <c r="I32" s="606" t="s">
        <v>486</v>
      </c>
      <c r="J32" s="605">
        <f>'DAP4'!K10</f>
        <v>0</v>
      </c>
      <c r="K32" s="605" t="s">
        <v>2215</v>
      </c>
      <c r="M32" s="606" t="s">
        <v>508</v>
      </c>
      <c r="N32" s="608">
        <f>'1Př1'!F35</f>
        <v>0</v>
      </c>
      <c r="O32" s="605" t="s">
        <v>2215</v>
      </c>
    </row>
    <row r="33" spans="1:19">
      <c r="A33" s="606" t="s">
        <v>355</v>
      </c>
      <c r="B33" s="608" t="str">
        <f>IF(AND('DAP3'!D35&lt;&gt;"",'DAP3'!D35&lt;&gt;0),'DAP3'!D35,"")</f>
        <v/>
      </c>
      <c r="C33" s="605" t="s">
        <v>2215</v>
      </c>
      <c r="E33" s="606" t="s">
        <v>425</v>
      </c>
      <c r="F33" s="607" t="str">
        <f>IF(ISNUMBER(FIND("/",'DAP1'!L38)),MID('DAP1'!L38,(FIND("/",'DAP1'!L38,1))+1,LEN('DAP1'!L38)),"")</f>
        <v/>
      </c>
      <c r="I33" s="606" t="s">
        <v>487</v>
      </c>
      <c r="J33" s="605">
        <f>'DAP4'!K18</f>
        <v>0</v>
      </c>
      <c r="K33" s="605" t="s">
        <v>2215</v>
      </c>
      <c r="M33" s="606" t="s">
        <v>509</v>
      </c>
      <c r="N33" s="608">
        <f>'1Př1'!H35</f>
        <v>0</v>
      </c>
      <c r="O33" s="605" t="s">
        <v>2215</v>
      </c>
    </row>
    <row r="34" spans="1:19">
      <c r="A34" s="606" t="s">
        <v>356</v>
      </c>
      <c r="B34" s="608" t="str">
        <f>IF(AND('DAP3'!D38&lt;&gt;"",'DAP3'!D38&lt;&gt;0),'DAP3'!D38,"")</f>
        <v/>
      </c>
      <c r="C34" s="605" t="s">
        <v>2215</v>
      </c>
      <c r="E34" s="606" t="s">
        <v>426</v>
      </c>
      <c r="F34" s="605" t="str">
        <f>IF(IF(ISNUMBER(FIND("/",'DAP1'!L38)),LEFT('DAP1'!L38,(FIND("/",'DAP1'!L38,1))-1),'DAP1'!L38)&lt;&gt;0,IF(ISNUMBER(FIND("/",'DAP1'!L38)),LEFT('DAP1'!L38,(FIND("/",'DAP1'!L38,1))-1),'DAP1'!L38),"")</f>
        <v/>
      </c>
      <c r="I34" s="606" t="s">
        <v>488</v>
      </c>
      <c r="K34" s="605" t="s">
        <v>2446</v>
      </c>
      <c r="M34" s="606" t="s">
        <v>510</v>
      </c>
      <c r="N34" s="607" t="str">
        <f>IF('1Př2'!F3&lt;&gt;0,TEXT('1Př2'!F3,"DD.MM.RRRR"),"")</f>
        <v/>
      </c>
      <c r="O34" s="605" t="s">
        <v>2215</v>
      </c>
    </row>
    <row r="35" spans="1:19">
      <c r="A35" s="606" t="s">
        <v>357</v>
      </c>
      <c r="B35" s="608">
        <f>'DAP3'!D24</f>
        <v>0</v>
      </c>
      <c r="C35" s="605" t="s">
        <v>2215</v>
      </c>
      <c r="E35" s="606" t="s">
        <v>427</v>
      </c>
      <c r="F35" s="607" t="str">
        <f>IF('DAP1'!F39&lt;&gt;"",'DAP1'!F39,"")</f>
        <v/>
      </c>
      <c r="I35" s="606" t="s">
        <v>489</v>
      </c>
      <c r="J35" s="605">
        <f>'DAP4'!K19</f>
        <v>0</v>
      </c>
      <c r="K35" s="605" t="s">
        <v>2215</v>
      </c>
      <c r="M35" s="606" t="s">
        <v>511</v>
      </c>
      <c r="N35" s="607" t="str">
        <f>IF('1Př2'!C3&lt;&gt;0,TEXT('1Př2'!C3,"DD.MM.RRRR"),"")</f>
        <v/>
      </c>
      <c r="O35" s="605" t="s">
        <v>2215</v>
      </c>
    </row>
    <row r="36" spans="1:19">
      <c r="A36" s="606" t="s">
        <v>358</v>
      </c>
      <c r="B36" s="611">
        <f>'DAP2'!F37</f>
        <v>0</v>
      </c>
      <c r="C36" s="605" t="s">
        <v>2215</v>
      </c>
      <c r="E36" s="606" t="s">
        <v>428</v>
      </c>
      <c r="F36" s="607" t="str">
        <f>IF(ISNUMBER(FIND("@",'DAP1'!I39)),'DAP1'!I39,"")</f>
        <v/>
      </c>
      <c r="I36" s="606" t="s">
        <v>490</v>
      </c>
      <c r="J36" s="605">
        <f>'DAP4'!K15</f>
        <v>0</v>
      </c>
      <c r="K36" s="605" t="s">
        <v>2215</v>
      </c>
      <c r="M36" s="606" t="s">
        <v>512</v>
      </c>
      <c r="N36" s="607" t="str">
        <f>IF('1Př2'!E3&lt;&gt;0,TEXT('1Př2'!E3,"DD.MM.RRRR"),"")</f>
        <v/>
      </c>
      <c r="O36" s="605" t="s">
        <v>2215</v>
      </c>
    </row>
    <row r="37" spans="1:19">
      <c r="A37" s="606" t="s">
        <v>359</v>
      </c>
      <c r="B37" s="608">
        <f>'DAP3'!D43</f>
        <v>0</v>
      </c>
      <c r="C37" s="605" t="s">
        <v>2215</v>
      </c>
      <c r="E37" s="606" t="s">
        <v>429</v>
      </c>
      <c r="F37" s="607" t="str">
        <f>IF('DAP1'!B38&lt;&gt;"",'DAP1'!B38,"")</f>
        <v/>
      </c>
      <c r="I37" s="606" t="s">
        <v>491</v>
      </c>
      <c r="J37" s="605">
        <f>'DAP4'!K16</f>
        <v>0</v>
      </c>
      <c r="K37" s="605" t="s">
        <v>2215</v>
      </c>
      <c r="M37" s="606" t="s">
        <v>513</v>
      </c>
      <c r="N37" s="607" t="str">
        <f>IF('1Př2'!A3&lt;&gt;0,TEXT('1Př2'!A3,"DD.MM.RRRR"),"")</f>
        <v/>
      </c>
      <c r="O37" s="605" t="s">
        <v>2215</v>
      </c>
    </row>
    <row r="38" spans="1:19">
      <c r="A38" s="606"/>
      <c r="B38" s="608" t="str">
        <f>IF(Účetní_závěrka!C12&lt;&gt;"",IF(Účetní_závěrka!C88&gt;0,"P","Z"),"")</f>
        <v/>
      </c>
      <c r="C38" s="605" t="s">
        <v>2215</v>
      </c>
      <c r="E38" s="606" t="s">
        <v>430</v>
      </c>
      <c r="F38" s="607" t="str">
        <f>IF('DAP1'!B39&lt;&gt;"",'DAP1'!B39,"")</f>
        <v/>
      </c>
      <c r="I38" s="606" t="s">
        <v>492</v>
      </c>
      <c r="J38" s="605">
        <f>'DAP4'!K12</f>
        <v>0</v>
      </c>
      <c r="K38" s="605" t="s">
        <v>2215</v>
      </c>
      <c r="M38" s="606" t="s">
        <v>514</v>
      </c>
      <c r="N38" s="608">
        <f>'1Př1'!A27</f>
        <v>0</v>
      </c>
      <c r="O38" s="605" t="s">
        <v>2215</v>
      </c>
    </row>
    <row r="39" spans="1:19">
      <c r="A39" s="606" t="s">
        <v>361</v>
      </c>
      <c r="B39" s="608">
        <f>'DAP3'!D45</f>
        <v>0</v>
      </c>
      <c r="C39" s="605" t="s">
        <v>2215</v>
      </c>
      <c r="E39" s="606" t="s">
        <v>431</v>
      </c>
      <c r="F39" s="607" t="str">
        <f>IF('DAP1'!G38&lt;&gt;"",'DAP1'!G35,"")</f>
        <v/>
      </c>
      <c r="I39" s="606" t="s">
        <v>493</v>
      </c>
      <c r="K39" s="605" t="s">
        <v>2218</v>
      </c>
      <c r="M39" s="606" t="s">
        <v>515</v>
      </c>
      <c r="N39" s="608">
        <f>'1Př1'!F14</f>
        <v>0</v>
      </c>
      <c r="O39" s="605" t="s">
        <v>2215</v>
      </c>
    </row>
    <row r="40" spans="1:19">
      <c r="A40" s="606" t="s">
        <v>362</v>
      </c>
      <c r="B40" s="608">
        <f>'DAP3'!D43</f>
        <v>0</v>
      </c>
      <c r="C40" s="605" t="s">
        <v>2215</v>
      </c>
      <c r="E40" s="606" t="s">
        <v>432</v>
      </c>
      <c r="F40" s="607" t="str">
        <f>IF(AND(LEN('DAP4'!A34)&gt;6,ISNUMBER(SEARCH(".",'DAP4'!A34))),'DAP4'!A34,"")</f>
        <v/>
      </c>
      <c r="G40" s="605" t="s">
        <v>2226</v>
      </c>
      <c r="I40" s="606" t="s">
        <v>494</v>
      </c>
      <c r="J40" s="605">
        <f>'DAP4'!K11</f>
        <v>0</v>
      </c>
      <c r="K40" s="605" t="s">
        <v>2215</v>
      </c>
      <c r="M40" s="606" t="s">
        <v>516</v>
      </c>
      <c r="N40" s="608">
        <f>'1Př1'!E27</f>
        <v>0</v>
      </c>
      <c r="O40" s="605" t="s">
        <v>2215</v>
      </c>
      <c r="Q40" s="605" t="s">
        <v>536</v>
      </c>
      <c r="R40" s="606" t="s">
        <v>560</v>
      </c>
      <c r="S40" s="618" t="s">
        <v>558</v>
      </c>
    </row>
    <row r="41" spans="1:19">
      <c r="A41" s="606" t="s">
        <v>363</v>
      </c>
      <c r="B41" s="608" t="str">
        <f>IF(AND('DAP3'!D44&lt;&gt;"",'DAP3'!D44&lt;&gt;0),'DAP3'!D44,"")</f>
        <v/>
      </c>
      <c r="C41" s="605" t="s">
        <v>2215</v>
      </c>
      <c r="E41" s="606" t="s">
        <v>433</v>
      </c>
      <c r="F41" s="607" t="str">
        <f>IF(AND(LEN('DAP4'!A34)&lt;=4,'DAP4'!A34&lt;&gt;""),'DAP4'!A34,"")</f>
        <v/>
      </c>
      <c r="G41" s="605" t="s">
        <v>2226</v>
      </c>
      <c r="I41" s="606" t="s">
        <v>495</v>
      </c>
      <c r="J41" s="605">
        <f>'DAP4'!K20</f>
        <v>0</v>
      </c>
      <c r="K41" s="605" t="s">
        <v>2215</v>
      </c>
      <c r="M41" s="606" t="s">
        <v>517</v>
      </c>
      <c r="N41" s="608">
        <f>'1Př1'!I27</f>
        <v>0</v>
      </c>
      <c r="O41" s="605" t="s">
        <v>2215</v>
      </c>
      <c r="R41" s="608" t="str">
        <f>IF('1Př2'!F20&lt;&gt;"",'1Př2'!F20,"")</f>
        <v/>
      </c>
      <c r="S41" s="607" t="str">
        <f>IF('1Př2'!B20&lt;&gt;"",'1Př2'!B20,"")</f>
        <v/>
      </c>
    </row>
    <row r="42" spans="1:19">
      <c r="A42" s="606" t="s">
        <v>364</v>
      </c>
      <c r="B42" s="608">
        <f>'DAP3'!E8</f>
        <v>0</v>
      </c>
      <c r="C42" s="605" t="s">
        <v>2215</v>
      </c>
      <c r="E42" s="606" t="s">
        <v>434</v>
      </c>
      <c r="F42" s="607" t="str">
        <f>IF(AND(LEN('DAP4'!A34)&lt;9,LEN('DAP4'!A34)&gt;5),'DAP4'!A34,"")</f>
        <v/>
      </c>
      <c r="G42" s="605" t="s">
        <v>2226</v>
      </c>
      <c r="I42" s="606" t="s">
        <v>496</v>
      </c>
      <c r="J42" s="605">
        <f>'DAP4'!K9</f>
        <v>0</v>
      </c>
      <c r="K42" s="605" t="s">
        <v>2215</v>
      </c>
      <c r="M42" s="606" t="s">
        <v>518</v>
      </c>
      <c r="N42" s="608">
        <f>'1Př1'!F22</f>
        <v>0</v>
      </c>
      <c r="O42" s="605" t="s">
        <v>2215</v>
      </c>
      <c r="R42" s="608" t="str">
        <f>IF('1Př2'!F21&lt;&gt;"",'1Př2'!F21,"")</f>
        <v/>
      </c>
      <c r="S42" s="607" t="str">
        <f>IF('1Př2'!B21&lt;&gt;"",'1Př2'!B21,"")</f>
        <v/>
      </c>
    </row>
    <row r="43" spans="1:19">
      <c r="A43" s="606" t="s">
        <v>365</v>
      </c>
      <c r="B43" s="608">
        <f>'DAP3'!D46</f>
        <v>0</v>
      </c>
      <c r="C43" s="605" t="s">
        <v>2215</v>
      </c>
      <c r="E43" s="606" t="s">
        <v>435</v>
      </c>
      <c r="F43" s="607" t="str">
        <f>IF(AND(OR(F40&lt;&gt;"",F41&lt;&gt;""),ZAKL_DATA!D20&lt;&gt;""),ZAKL_DATA!D20,"")</f>
        <v/>
      </c>
      <c r="G43" s="605" t="s">
        <v>2226</v>
      </c>
      <c r="I43" s="606" t="s">
        <v>497</v>
      </c>
      <c r="J43" s="605">
        <f>'DAP4'!K13</f>
        <v>0</v>
      </c>
      <c r="K43" s="605" t="s">
        <v>2215</v>
      </c>
      <c r="M43" s="606" t="s">
        <v>519</v>
      </c>
      <c r="N43" s="608">
        <f>'1Př1'!F17</f>
        <v>0</v>
      </c>
      <c r="O43" s="605" t="s">
        <v>2215</v>
      </c>
      <c r="R43" s="608" t="str">
        <f>IF('1Př2'!F22&lt;&gt;"",'1Př2'!F22,"")</f>
        <v/>
      </c>
      <c r="S43" s="607" t="str">
        <f>IF('1Př2'!B22&lt;&gt;"",'1Př2'!B22,"")</f>
        <v/>
      </c>
    </row>
    <row r="44" spans="1:19">
      <c r="A44" s="606" t="s">
        <v>366</v>
      </c>
      <c r="B44" s="608">
        <f>'DAP3'!D41</f>
        <v>0</v>
      </c>
      <c r="C44" s="605" t="s">
        <v>2215</v>
      </c>
      <c r="E44" s="606" t="s">
        <v>436</v>
      </c>
      <c r="F44" s="607" t="str">
        <f>IF('DAP4'!C30&lt;&gt;0,'DAP4'!C30,"")</f>
        <v/>
      </c>
      <c r="G44" s="605" t="s">
        <v>2226</v>
      </c>
      <c r="I44" s="606" t="s">
        <v>498</v>
      </c>
      <c r="J44" s="605">
        <f>'DAP4'!K6</f>
        <v>0</v>
      </c>
      <c r="K44" s="605" t="s">
        <v>2215</v>
      </c>
      <c r="M44" s="606" t="s">
        <v>520</v>
      </c>
      <c r="N44" s="608">
        <f>'1Př1'!F19</f>
        <v>0</v>
      </c>
      <c r="O44" s="605" t="s">
        <v>2215</v>
      </c>
      <c r="R44" s="608" t="str">
        <f>IF('1Př2'!F23&lt;&gt;"",'1Př2'!F23,"")</f>
        <v/>
      </c>
      <c r="S44" s="607" t="str">
        <f>IF('1Př2'!B23&lt;&gt;"",'1Př2'!B23,"")</f>
        <v/>
      </c>
    </row>
    <row r="45" spans="1:19">
      <c r="A45" s="606" t="s">
        <v>367</v>
      </c>
      <c r="B45" s="608">
        <f>'DAP3'!D40</f>
        <v>0</v>
      </c>
      <c r="C45" s="605" t="s">
        <v>2215</v>
      </c>
      <c r="E45" s="606" t="s">
        <v>437</v>
      </c>
      <c r="F45" s="607" t="str">
        <f>'DAP4'!A32</f>
        <v xml:space="preserve">  </v>
      </c>
      <c r="G45" s="605" t="s">
        <v>2226</v>
      </c>
      <c r="I45" s="606" t="s">
        <v>499</v>
      </c>
      <c r="J45" s="605">
        <f>'DAP4'!K8</f>
        <v>0</v>
      </c>
      <c r="K45" s="605" t="s">
        <v>2215</v>
      </c>
      <c r="M45" s="606" t="s">
        <v>521</v>
      </c>
      <c r="N45" s="608">
        <f>'1Př1'!F11</f>
        <v>0</v>
      </c>
      <c r="O45" s="605" t="s">
        <v>2215</v>
      </c>
    </row>
    <row r="46" spans="1:19">
      <c r="A46" s="606" t="s">
        <v>368</v>
      </c>
      <c r="B46" s="608">
        <f>'DAP3'!D48</f>
        <v>0</v>
      </c>
      <c r="C46" s="605" t="s">
        <v>2215</v>
      </c>
      <c r="E46" s="606" t="s">
        <v>438</v>
      </c>
      <c r="F46" s="607" t="str">
        <f>IF(AND(OR(F40&lt;&gt;"",F41&lt;&gt;""),ZAKL_DATA!D21&lt;&gt;""),ZAKL_DATA!D21,"")</f>
        <v/>
      </c>
      <c r="G46" s="605" t="s">
        <v>2226</v>
      </c>
      <c r="I46" s="606" t="s">
        <v>500</v>
      </c>
      <c r="J46" s="605" t="str">
        <f>IF((ABS('6Př'!E20)+ABS('6Př'!F20))&lt;&gt;0,"1","0")</f>
        <v>0</v>
      </c>
      <c r="M46" s="606" t="s">
        <v>522</v>
      </c>
      <c r="N46" s="608">
        <f>'1Př1'!F16</f>
        <v>0</v>
      </c>
      <c r="O46" s="605" t="s">
        <v>2215</v>
      </c>
      <c r="R46" s="605" t="s">
        <v>2215</v>
      </c>
      <c r="S46" s="605" t="s">
        <v>2215</v>
      </c>
    </row>
    <row r="47" spans="1:19">
      <c r="A47" s="606" t="s">
        <v>369</v>
      </c>
      <c r="B47" s="608" t="str">
        <f>IF(AND('DAP3'!D34&lt;&gt;"",'DAP3'!D34&lt;&gt;0),'DAP3'!D34,"")</f>
        <v/>
      </c>
      <c r="C47" s="605" t="s">
        <v>2215</v>
      </c>
      <c r="E47" s="606" t="s">
        <v>439</v>
      </c>
      <c r="F47" s="607" t="str">
        <f>IF(OR('DAP4'!C30="4a",'DAP4'!C30="4b"), "F",IF(OR('DAP4'!C30="4c",'DAP4'!C30="4d"),"P",""))</f>
        <v/>
      </c>
      <c r="G47" s="605" t="s">
        <v>2226</v>
      </c>
      <c r="I47" s="606" t="s">
        <v>501</v>
      </c>
      <c r="J47" s="605">
        <f>IF('DAP4'!K26&lt;&gt;"",'DAP4'!K26,"")</f>
        <v>0</v>
      </c>
      <c r="M47" s="606" t="s">
        <v>523</v>
      </c>
      <c r="N47" s="608">
        <f>'1Př1'!F15</f>
        <v>0</v>
      </c>
      <c r="O47" s="605" t="s">
        <v>2215</v>
      </c>
    </row>
    <row r="48" spans="1:19">
      <c r="A48" s="606" t="s">
        <v>370</v>
      </c>
      <c r="B48" s="608" t="str">
        <f>IF(AND('DAP3'!D37&lt;&gt;"",'DAP3'!D37&lt;&gt;0),'DAP3'!D37,"")</f>
        <v/>
      </c>
      <c r="C48" s="605" t="s">
        <v>2215</v>
      </c>
      <c r="I48" s="606" t="s">
        <v>502</v>
      </c>
      <c r="J48" s="607">
        <f>'DAP4'!K4</f>
        <v>0</v>
      </c>
      <c r="K48" s="605" t="s">
        <v>2215</v>
      </c>
      <c r="M48" s="606" t="s">
        <v>524</v>
      </c>
      <c r="N48" s="608">
        <f>'1Př1'!F12</f>
        <v>0</v>
      </c>
      <c r="O48" s="605" t="s">
        <v>2215</v>
      </c>
    </row>
    <row r="49" spans="1:22">
      <c r="A49" s="606" t="s">
        <v>371</v>
      </c>
      <c r="B49" s="607" t="str">
        <f>IF('DAP1'!F41&lt;&gt;"",'DAP1'!F41,"")</f>
        <v/>
      </c>
      <c r="C49" s="605" t="s">
        <v>2215</v>
      </c>
      <c r="I49" s="606" t="s">
        <v>503</v>
      </c>
      <c r="J49" s="607">
        <f>'DAP4'!K5</f>
        <v>0</v>
      </c>
      <c r="K49" s="605" t="s">
        <v>2215</v>
      </c>
      <c r="M49" s="606" t="s">
        <v>525</v>
      </c>
      <c r="N49" s="608">
        <f>'1Př1'!F18</f>
        <v>0</v>
      </c>
      <c r="O49" s="605" t="s">
        <v>2215</v>
      </c>
    </row>
    <row r="50" spans="1:22">
      <c r="A50" s="606" t="s">
        <v>372</v>
      </c>
      <c r="B50" s="605">
        <f>'DAP3'!D5</f>
        <v>0</v>
      </c>
      <c r="C50" s="605" t="s">
        <v>2215</v>
      </c>
      <c r="E50" s="606" t="s">
        <v>2445</v>
      </c>
      <c r="F50" s="607" t="str">
        <f>IF(Účetní_závěrka!C12&lt;&gt;"",IF(Účetní_závěrka!C88&gt;0,"P","Z"),"")</f>
        <v/>
      </c>
      <c r="I50" s="606" t="s">
        <v>504</v>
      </c>
      <c r="J50" s="605">
        <f>'DAP4'!K22</f>
        <v>0</v>
      </c>
      <c r="K50" s="605" t="s">
        <v>2215</v>
      </c>
      <c r="M50" s="606" t="s">
        <v>526</v>
      </c>
      <c r="N50" s="608">
        <f>'1Př1'!F20</f>
        <v>0</v>
      </c>
      <c r="O50" s="605" t="s">
        <v>2215</v>
      </c>
      <c r="Q50" s="605" t="s">
        <v>562</v>
      </c>
      <c r="R50" s="606" t="s">
        <v>563</v>
      </c>
      <c r="S50" s="618" t="s">
        <v>561</v>
      </c>
    </row>
    <row r="51" spans="1:22">
      <c r="A51" s="606" t="s">
        <v>2329</v>
      </c>
      <c r="B51" s="605">
        <f>'DAP3'!F21</f>
        <v>0</v>
      </c>
      <c r="C51" s="605" t="s">
        <v>2215</v>
      </c>
      <c r="E51" s="606" t="s">
        <v>2445</v>
      </c>
      <c r="F51" s="607" t="str">
        <f>IF(Účetní_závěrka!C12&lt;&gt;"",IF(Účetní_závěrka!C88&gt;0,"P","Z"),"")</f>
        <v/>
      </c>
      <c r="I51" s="606" t="s">
        <v>505</v>
      </c>
      <c r="J51" s="605">
        <f>'DAP4'!K21</f>
        <v>0</v>
      </c>
      <c r="K51" s="605" t="s">
        <v>2215</v>
      </c>
      <c r="M51" s="606" t="s">
        <v>527</v>
      </c>
      <c r="N51" s="608">
        <f>'1Př1'!F23</f>
        <v>0</v>
      </c>
      <c r="O51" s="605" t="s">
        <v>2215</v>
      </c>
      <c r="R51" s="605" t="str">
        <f>IF('1Př2'!F26&lt;&gt;"",'1Př2'!F26,"")</f>
        <v/>
      </c>
      <c r="S51" s="607" t="str">
        <f>IF('1Př2'!B26&lt;&gt;"",'1Př2'!B26,"")</f>
        <v/>
      </c>
    </row>
    <row r="52" spans="1:22">
      <c r="A52" s="606" t="s">
        <v>2330</v>
      </c>
      <c r="B52" s="605">
        <f>'DAP3'!G21</f>
        <v>0</v>
      </c>
      <c r="C52" s="605" t="s">
        <v>2215</v>
      </c>
      <c r="E52" s="606" t="s">
        <v>2445</v>
      </c>
      <c r="F52" s="607" t="str">
        <f>IF(Účetní_závěrka!C12&lt;&gt;"",IF(Účetní_závěrka!C88&gt;0,"P","Z"),"")</f>
        <v/>
      </c>
      <c r="I52" s="606" t="s">
        <v>2339</v>
      </c>
      <c r="J52" s="605" t="str">
        <f>IF('DAP4'!K17&lt;&gt;"",'DAP4'!K17,"")</f>
        <v/>
      </c>
      <c r="K52" s="613"/>
      <c r="M52" s="606" t="s">
        <v>528</v>
      </c>
      <c r="N52" s="608" t="e">
        <f>'1Př1'!#REF!</f>
        <v>#REF!</v>
      </c>
      <c r="O52" s="605" t="s">
        <v>2215</v>
      </c>
      <c r="R52" s="605" t="str">
        <f>IF('1Př2'!F27&lt;&gt;"",'1Př2'!F27,"")</f>
        <v/>
      </c>
      <c r="S52" s="607" t="str">
        <f>IF('1Př2'!B27&lt;&gt;"",'1Př2'!B27,"")</f>
        <v/>
      </c>
    </row>
    <row r="53" spans="1:22">
      <c r="A53" s="606" t="s">
        <v>373</v>
      </c>
      <c r="B53" s="605">
        <f>'DAP3'!D6</f>
        <v>0</v>
      </c>
      <c r="C53" s="605" t="s">
        <v>2215</v>
      </c>
      <c r="I53" s="606" t="s">
        <v>2620</v>
      </c>
      <c r="J53" s="605">
        <f>'DAP4'!K24</f>
        <v>0</v>
      </c>
      <c r="K53" s="605" t="s">
        <v>2215</v>
      </c>
      <c r="M53" s="606" t="s">
        <v>529</v>
      </c>
      <c r="N53" s="605">
        <f>'1Př2'!G3</f>
        <v>12</v>
      </c>
      <c r="O53" s="605" t="s">
        <v>2215</v>
      </c>
      <c r="R53" s="605" t="str">
        <f>IF('1Př2'!F28&lt;&gt;"",'1Př2'!F28,"")</f>
        <v/>
      </c>
      <c r="S53" s="607" t="str">
        <f>IF('1Př2'!B28&lt;&gt;"",'1Př2'!B28,"")</f>
        <v/>
      </c>
    </row>
    <row r="54" spans="1:22">
      <c r="A54" s="606" t="s">
        <v>374</v>
      </c>
      <c r="B54" s="605">
        <f>'DAP3'!D4</f>
        <v>0</v>
      </c>
      <c r="C54" s="605" t="s">
        <v>2215</v>
      </c>
      <c r="I54" s="606" t="s">
        <v>2621</v>
      </c>
      <c r="J54" s="605">
        <f>'DAP4'!K7</f>
        <v>0</v>
      </c>
      <c r="K54" s="605" t="s">
        <v>2215</v>
      </c>
      <c r="M54" s="606" t="s">
        <v>530</v>
      </c>
      <c r="N54" s="608">
        <f>'1Př1'!F30</f>
        <v>0</v>
      </c>
      <c r="O54" s="605" t="s">
        <v>2215</v>
      </c>
      <c r="R54" s="605" t="str">
        <f>IF('1Př2'!F29&lt;&gt;"",'1Př2'!F29,"")</f>
        <v/>
      </c>
      <c r="S54" s="607" t="str">
        <f>IF('1Př2'!B29&lt;&gt;"",'1Př2'!B29,"")</f>
        <v/>
      </c>
    </row>
    <row r="55" spans="1:22">
      <c r="A55" s="606" t="s">
        <v>375</v>
      </c>
      <c r="B55" s="605">
        <f>'DAP3'!D8</f>
        <v>0</v>
      </c>
      <c r="C55" s="605" t="s">
        <v>2215</v>
      </c>
      <c r="I55" s="606" t="s">
        <v>2700</v>
      </c>
      <c r="J55" s="605">
        <f>'DAP4'!K16</f>
        <v>0</v>
      </c>
      <c r="M55" s="606" t="s">
        <v>531</v>
      </c>
      <c r="N55" s="614" t="str">
        <f>IF(AND('1Př1'!E30*100&lt;&gt;0,'1Př1'!E30&lt;&gt;""),'1Př1'!E30*100,"")</f>
        <v/>
      </c>
      <c r="O55" s="605" t="s">
        <v>2215</v>
      </c>
    </row>
    <row r="56" spans="1:22">
      <c r="A56" s="606" t="s">
        <v>376</v>
      </c>
      <c r="B56" s="605">
        <f>'DAP3'!D3</f>
        <v>0</v>
      </c>
      <c r="C56" s="605" t="s">
        <v>2215</v>
      </c>
      <c r="I56" s="605" t="s">
        <v>2701</v>
      </c>
      <c r="J56" s="605">
        <f>'DAP4'!K14</f>
        <v>0</v>
      </c>
      <c r="M56" s="606" t="s">
        <v>532</v>
      </c>
      <c r="N56" s="608">
        <f>'1Př1'!H30</f>
        <v>0</v>
      </c>
      <c r="O56" s="605" t="s">
        <v>2215</v>
      </c>
      <c r="R56" s="605" t="s">
        <v>2215</v>
      </c>
      <c r="S56" s="605" t="s">
        <v>2215</v>
      </c>
    </row>
    <row r="57" spans="1:22">
      <c r="A57" s="606" t="s">
        <v>377</v>
      </c>
      <c r="B57" s="605">
        <f>'DAP3'!D7</f>
        <v>0</v>
      </c>
      <c r="C57" s="605" t="s">
        <v>2215</v>
      </c>
      <c r="I57" s="605" t="s">
        <v>2702</v>
      </c>
      <c r="J57" s="605">
        <f>'DAP4'!K15</f>
        <v>0</v>
      </c>
      <c r="M57" s="606" t="s">
        <v>533</v>
      </c>
      <c r="N57" s="607">
        <f>IF(AND('1Př1'!C8&lt;&gt;"",'1Př1'!G8=""),1,IF(AND('1Př1'!C8="",'1Př1'!G8&lt;&gt;""),2,""))</f>
        <v>2</v>
      </c>
      <c r="O57" s="605" t="s">
        <v>2215</v>
      </c>
    </row>
    <row r="58" spans="1:22">
      <c r="A58" s="606" t="s">
        <v>378</v>
      </c>
      <c r="B58" s="607" t="str">
        <f>IF(ISNUMBER(FIND(" ",'DAP2'!C45)),MID('DAP2'!C45,(FIND(" ",'DAP2'!C45,1))+1,IF(ISNUMBER(FIND(" ",'DAP2'!C45,FIND(" ",'DAP2'!C45,1)+1)),FIND(" ",'DAP2'!C45,LEN(LEFT('DAP2'!C45,(FIND(" ",'DAP2'!C45,1))))+1)-LEN(LEFT('DAP2'!C45,(FIND(" ",'DAP2'!C45,1)))),LEN('DAP2'!C45)-LEN(LEFT('DAP2'!C45,(FIND(" ",'DAP2'!C45,1)))))),"")</f>
        <v/>
      </c>
      <c r="C58" s="605" t="s">
        <v>2215</v>
      </c>
      <c r="M58" s="606" t="s">
        <v>534</v>
      </c>
      <c r="N58" s="607" t="str">
        <f>IF('1Př1'!K8&lt;&gt;"","A","N")</f>
        <v>N</v>
      </c>
    </row>
    <row r="59" spans="1:22">
      <c r="A59" s="606" t="s">
        <v>379</v>
      </c>
      <c r="B59" s="607" t="str">
        <f>IF(ISNUMBER(FIND(" ",'DAP2'!C45)),LEFT('DAP2'!C45,(FIND(" ",'DAP2'!C45,1))-1),"")</f>
        <v/>
      </c>
      <c r="C59" s="605" t="s">
        <v>2215</v>
      </c>
      <c r="M59" s="606" t="s">
        <v>2487</v>
      </c>
      <c r="N59" s="607" t="e">
        <f>IF('1Př1'!#REF!&lt;&gt;"","A","N")</f>
        <v>#REF!</v>
      </c>
    </row>
    <row r="60" spans="1:22">
      <c r="A60" s="606" t="s">
        <v>380</v>
      </c>
      <c r="B60" s="607" t="str">
        <f>IF('DAP2'!H45&lt;&gt;"",'DAP2'!H45,"")</f>
        <v/>
      </c>
      <c r="C60" s="605" t="s">
        <v>2215</v>
      </c>
      <c r="E60" s="605" t="s">
        <v>540</v>
      </c>
      <c r="I60" s="605" t="s">
        <v>577</v>
      </c>
      <c r="N60" s="605" t="str">
        <f>IF(OR(N57="2",N58="A"),"A","N")</f>
        <v>N</v>
      </c>
      <c r="Q60" s="605" t="s">
        <v>565</v>
      </c>
      <c r="R60" s="618" t="s">
        <v>564</v>
      </c>
      <c r="S60" s="618" t="s">
        <v>566</v>
      </c>
      <c r="T60" s="606" t="s">
        <v>567</v>
      </c>
      <c r="U60" s="606" t="s">
        <v>568</v>
      </c>
      <c r="V60" s="618" t="s">
        <v>569</v>
      </c>
    </row>
    <row r="61" spans="1:22">
      <c r="A61" s="606" t="s">
        <v>381</v>
      </c>
      <c r="B61" s="607" t="str">
        <f>IF(ISNUMBER(FIND(" ",'DAP2'!C45,FIND(" ",'DAP2'!C45,1)+1)),MID('DAP2'!C45,FIND(" ",'DAP2'!C45,LEN(LEFT('DAP2'!C45,(FIND(" ",'DAP2'!C45,1))))+1)+1,LEN('DAP2'!C45)-LEN(LEFT('DAP2'!C45,(FIND(" ",'DAP2'!C45,1))))+1),"")</f>
        <v/>
      </c>
      <c r="C61" s="605" t="s">
        <v>2215</v>
      </c>
      <c r="E61" s="606" t="s">
        <v>541</v>
      </c>
      <c r="F61" s="608" t="str">
        <f>IF(OR(N57=2,N58="A"),"",'1Př2'!F7)</f>
        <v/>
      </c>
      <c r="G61" s="605" t="s">
        <v>2215</v>
      </c>
      <c r="I61" s="606" t="s">
        <v>584</v>
      </c>
      <c r="J61" s="608">
        <f>'2Př'!G11</f>
        <v>0</v>
      </c>
      <c r="K61" s="605" t="s">
        <v>2215</v>
      </c>
      <c r="R61" s="607" t="str">
        <f>IF('1Př2'!E33&lt;&gt;"",MID('1Př2'!E33,3,LEN('1Př2'!E33)-2),"")</f>
        <v/>
      </c>
      <c r="S61" s="607" t="str">
        <f>IF('1Př2'!B33&lt;&gt;"",'1Př2'!B33,"")</f>
        <v/>
      </c>
      <c r="T61" s="605" t="str">
        <f>IF('1Př2'!F33&lt;&gt;"",'1Př2'!F33*100,"")</f>
        <v/>
      </c>
      <c r="U61" s="605" t="str">
        <f>IF('1Př2'!G33&lt;&gt;"",'1Př2'!G33*100,"")</f>
        <v/>
      </c>
      <c r="V61" s="607" t="str">
        <f>IF('1Př2'!C33&lt;&gt;"",'1Př2'!C33,"")</f>
        <v/>
      </c>
    </row>
    <row r="62" spans="1:22">
      <c r="A62" s="606" t="s">
        <v>382</v>
      </c>
      <c r="B62" s="607" t="str">
        <f>IF(AND('DAP1'!J17&lt;&gt;"",'DAP1'!L17=""),"A",IF(AND('DAP1'!J17="",'DAP1'!L17&lt;&gt;""),"N",""))</f>
        <v>N</v>
      </c>
      <c r="C62" s="605" t="s">
        <v>2215</v>
      </c>
      <c r="E62" s="606" t="s">
        <v>542</v>
      </c>
      <c r="F62" s="608" t="str">
        <f>IF(OR(N57=2,N58="A"),"",'1Př2'!F10)</f>
        <v/>
      </c>
      <c r="G62" s="605" t="s">
        <v>2215</v>
      </c>
      <c r="I62" s="606" t="s">
        <v>585</v>
      </c>
      <c r="J62" s="608">
        <f>'2Př'!G33</f>
        <v>0</v>
      </c>
      <c r="K62" s="605" t="s">
        <v>2215</v>
      </c>
      <c r="R62" s="607" t="str">
        <f>IF('1Př2'!E34&lt;&gt;"",MID('1Př2'!E34,3,LEN('1Př2'!E34)-2),"")</f>
        <v/>
      </c>
      <c r="S62" s="607" t="str">
        <f>IF('1Př2'!B34&lt;&gt;"",'1Př2'!B34,"")</f>
        <v/>
      </c>
      <c r="T62" s="605" t="str">
        <f>IF('1Př2'!F34&lt;&gt;"",'1Př2'!F34*100,"")</f>
        <v/>
      </c>
      <c r="U62" s="605" t="str">
        <f>IF('1Př2'!G34&lt;&gt;"",'1Př2'!G34*100,"")</f>
        <v/>
      </c>
      <c r="V62" s="607" t="str">
        <f>IF('1Př2'!C34&lt;&gt;"",'1Př2'!C34,"")</f>
        <v/>
      </c>
    </row>
    <row r="63" spans="1:22">
      <c r="A63" s="606" t="s">
        <v>383</v>
      </c>
      <c r="B63" s="607" t="str">
        <f>IF(AND('DAP1'!F43&lt;&gt;"",'DAP1'!H43=""),"A",IF(AND('DAP1'!F43="",'DAP1'!H43&lt;&gt;""),"N",""))</f>
        <v>N</v>
      </c>
      <c r="C63" s="605" t="s">
        <v>2215</v>
      </c>
      <c r="E63" s="606" t="s">
        <v>543</v>
      </c>
      <c r="F63" s="608" t="str">
        <f>IF(OR(N57=2,N58="A"),"",'1Př2'!F11)</f>
        <v/>
      </c>
      <c r="G63" s="605" t="s">
        <v>2215</v>
      </c>
      <c r="I63" s="606" t="s">
        <v>586</v>
      </c>
      <c r="J63" s="608">
        <f>'2Př'!G10</f>
        <v>0</v>
      </c>
      <c r="K63" s="605" t="s">
        <v>2215</v>
      </c>
      <c r="R63" s="607" t="str">
        <f>IF('1Př2'!E35&lt;&gt;"",MID('1Př2'!E35,3,LEN('1Př2'!E35)-2),"")</f>
        <v/>
      </c>
      <c r="S63" s="607" t="str">
        <f>IF('1Př2'!B35&lt;&gt;"",'1Př2'!B35,"")</f>
        <v/>
      </c>
      <c r="T63" s="605" t="str">
        <f>IF('1Př2'!F35&lt;&gt;"",'1Př2'!F35*100,"")</f>
        <v/>
      </c>
      <c r="U63" s="605" t="str">
        <f>IF('1Př2'!G35&lt;&gt;"",'1Př2'!G35*100,"")</f>
        <v/>
      </c>
      <c r="V63" s="607" t="str">
        <f>IF('1Př2'!C35&lt;&gt;"",'1Př2'!C35,"")</f>
        <v/>
      </c>
    </row>
    <row r="64" spans="1:22">
      <c r="A64" s="606" t="s">
        <v>384</v>
      </c>
      <c r="B64" s="605">
        <f>'DAP1'!F24</f>
        <v>2025</v>
      </c>
      <c r="C64" s="605" t="s">
        <v>2215</v>
      </c>
      <c r="E64" s="606" t="s">
        <v>544</v>
      </c>
      <c r="F64" s="608" t="str">
        <f>IF(OR(N57=2,N58="A"),"",'1Př2'!F8)</f>
        <v/>
      </c>
      <c r="G64" s="605" t="s">
        <v>2215</v>
      </c>
      <c r="I64" s="606" t="s">
        <v>587</v>
      </c>
      <c r="J64" s="608">
        <f>'2Př'!H18</f>
        <v>0</v>
      </c>
      <c r="K64" s="605" t="s">
        <v>2215</v>
      </c>
    </row>
    <row r="65" spans="1:22">
      <c r="A65" s="606" t="s">
        <v>385</v>
      </c>
      <c r="B65" s="608">
        <f>'DAP2'!F43</f>
        <v>0</v>
      </c>
      <c r="C65" s="605" t="s">
        <v>2215</v>
      </c>
      <c r="E65" s="606" t="s">
        <v>545</v>
      </c>
      <c r="F65" s="608" t="str">
        <f>IF(OR(N57=2,N58="A"),"",'1Př2'!F9)</f>
        <v/>
      </c>
      <c r="G65" s="605" t="s">
        <v>2215</v>
      </c>
      <c r="I65" s="606" t="s">
        <v>588</v>
      </c>
      <c r="J65" s="608">
        <f>'2Př'!C18</f>
        <v>0</v>
      </c>
      <c r="K65" s="605" t="s">
        <v>2215</v>
      </c>
      <c r="R65" s="605" t="s">
        <v>2215</v>
      </c>
      <c r="S65" s="605" t="s">
        <v>2215</v>
      </c>
      <c r="T65" s="605" t="s">
        <v>2215</v>
      </c>
      <c r="U65" s="605" t="s">
        <v>2215</v>
      </c>
      <c r="V65" s="605" t="s">
        <v>2215</v>
      </c>
    </row>
    <row r="66" spans="1:22">
      <c r="A66" s="606" t="s">
        <v>386</v>
      </c>
      <c r="B66" s="607"/>
      <c r="C66" s="605" t="s">
        <v>2218</v>
      </c>
      <c r="E66" s="606" t="s">
        <v>546</v>
      </c>
      <c r="F66" s="608" t="str">
        <f>IF(OR(N57=2,N58="A"),"",'1Př2'!F12)</f>
        <v/>
      </c>
      <c r="G66" s="605" t="s">
        <v>2215</v>
      </c>
      <c r="I66" s="606" t="s">
        <v>589</v>
      </c>
      <c r="J66" s="608">
        <f>'2Př'!G13</f>
        <v>0</v>
      </c>
      <c r="K66" s="605" t="s">
        <v>2215</v>
      </c>
    </row>
    <row r="67" spans="1:22">
      <c r="A67" s="606" t="s">
        <v>387</v>
      </c>
      <c r="B67" s="608">
        <f>'DAP3'!E11</f>
        <v>30840</v>
      </c>
      <c r="E67" s="606" t="s">
        <v>547</v>
      </c>
      <c r="F67" s="608" t="str">
        <f>IF(OR(N57=2,N58="A"),"",'1Př2'!F13)</f>
        <v/>
      </c>
      <c r="G67" s="605" t="s">
        <v>2215</v>
      </c>
      <c r="I67" s="606" t="s">
        <v>590</v>
      </c>
      <c r="J67" s="608">
        <f>'2Př'!G15</f>
        <v>0</v>
      </c>
      <c r="K67" s="605" t="s">
        <v>2215</v>
      </c>
    </row>
    <row r="68" spans="1:22">
      <c r="A68" s="606" t="s">
        <v>388</v>
      </c>
      <c r="B68" s="607" t="str">
        <f>IF(CONCATENATE('DAP1'!J28,'DAP1'!B28)&lt;&gt;"00",CONCATENATE('DAP1'!J28," ",'DAP1'!B28),"")</f>
        <v/>
      </c>
      <c r="C68" s="609" t="s">
        <v>2215</v>
      </c>
      <c r="E68" s="606" t="s">
        <v>548</v>
      </c>
      <c r="F68" s="608" t="str">
        <f>IF(OR(N57=2,N58="A"),"",'1Př2'!F14)</f>
        <v/>
      </c>
      <c r="G68" s="605" t="s">
        <v>2215</v>
      </c>
      <c r="I68" s="606" t="s">
        <v>591</v>
      </c>
      <c r="J68" s="608">
        <f>'2Př'!G34</f>
        <v>0</v>
      </c>
      <c r="K68" s="605" t="s">
        <v>2215</v>
      </c>
    </row>
    <row r="69" spans="1:22">
      <c r="A69" s="606" t="s">
        <v>389</v>
      </c>
      <c r="B69" s="607" t="str">
        <f>IF(Účetní_závěrka!C12&lt;&gt;"",IF(Účetní_závěrka!C88&gt;0,"P","Z"),"")</f>
        <v/>
      </c>
      <c r="C69" s="609" t="s">
        <v>2223</v>
      </c>
      <c r="E69" s="606" t="s">
        <v>549</v>
      </c>
      <c r="F69" s="608" t="str">
        <f>IF(OR(N57=2,N58="A"),"",'1Př2'!C16)</f>
        <v/>
      </c>
      <c r="G69" s="605" t="s">
        <v>2215</v>
      </c>
      <c r="I69" s="606" t="s">
        <v>592</v>
      </c>
      <c r="J69" s="608">
        <f>'2Př'!G12</f>
        <v>0</v>
      </c>
      <c r="K69" s="605" t="s">
        <v>2215</v>
      </c>
    </row>
    <row r="70" spans="1:22">
      <c r="A70" s="606" t="s">
        <v>390</v>
      </c>
      <c r="B70" s="605">
        <v>500</v>
      </c>
      <c r="C70" s="609" t="s">
        <v>2216</v>
      </c>
      <c r="E70" s="606" t="s">
        <v>550</v>
      </c>
      <c r="F70" s="608" t="str">
        <f>IF(OR(N57=2,N58="A"),"",'1Př2'!G7)</f>
        <v/>
      </c>
      <c r="G70" s="605" t="s">
        <v>2215</v>
      </c>
      <c r="I70" s="606" t="s">
        <v>593</v>
      </c>
      <c r="J70" s="608">
        <f>'2Př'!G35</f>
        <v>0</v>
      </c>
      <c r="K70" s="605" t="s">
        <v>2215</v>
      </c>
      <c r="M70" s="605" t="s">
        <v>602</v>
      </c>
      <c r="Q70" s="605" t="s">
        <v>570</v>
      </c>
      <c r="R70" s="618" t="s">
        <v>571</v>
      </c>
      <c r="S70" s="618" t="s">
        <v>572</v>
      </c>
      <c r="T70" s="606" t="s">
        <v>573</v>
      </c>
      <c r="U70" s="618" t="s">
        <v>574</v>
      </c>
    </row>
    <row r="71" spans="1:22">
      <c r="A71" s="606" t="s">
        <v>391</v>
      </c>
      <c r="B71" s="607" t="str">
        <f>CONCATENATE("31.12.",'DAP1'!F24)</f>
        <v>31.12.2025</v>
      </c>
      <c r="E71" s="606" t="s">
        <v>551</v>
      </c>
      <c r="F71" s="608" t="str">
        <f>IF(OR(N57=2,N58="A"),"",'1Př2'!G10)</f>
        <v/>
      </c>
      <c r="G71" s="605" t="s">
        <v>2215</v>
      </c>
      <c r="I71" s="606" t="s">
        <v>594</v>
      </c>
      <c r="J71" s="608">
        <f>'2Př'!G16</f>
        <v>0</v>
      </c>
      <c r="K71" s="605" t="s">
        <v>2215</v>
      </c>
      <c r="M71" s="606" t="s">
        <v>610</v>
      </c>
      <c r="N71" s="611">
        <f>'3Př'!F30</f>
        <v>0</v>
      </c>
      <c r="O71" s="605" t="s">
        <v>2215</v>
      </c>
      <c r="R71" s="607" t="str">
        <f>IF('1Př2'!F39&lt;&gt;"",IF(OR(ISNUMBER('1Př2'!F39),ISNUMBER(FIND("/",('1Př2'!F39)))),'1Př2'!F39,MID('1Př2'!F39,3,(LEN('1Př2'!F39)-2))),"")</f>
        <v/>
      </c>
      <c r="S71" s="607" t="str">
        <f>IF('1Př2'!B39&lt;&gt;"",'1Př2'!B39,"")</f>
        <v/>
      </c>
      <c r="T71" s="605" t="str">
        <f>IF('1Př2'!G39&lt;&gt;"",('1Př2'!G39)*100,"")</f>
        <v/>
      </c>
      <c r="U71" s="607" t="str">
        <f>IF('1Př2'!D39&lt;&gt;"",'1Př2'!D39,"")</f>
        <v/>
      </c>
    </row>
    <row r="72" spans="1:22">
      <c r="A72" s="606" t="s">
        <v>392</v>
      </c>
      <c r="B72" s="607" t="str">
        <f>CONCATENATE("01.01.",'DAP1'!F24)</f>
        <v>01.01.2025</v>
      </c>
      <c r="E72" s="606" t="s">
        <v>552</v>
      </c>
      <c r="F72" s="608" t="str">
        <f>IF(OR(N57=2,N58="A"),"",'1Př2'!G11)</f>
        <v/>
      </c>
      <c r="G72" s="605" t="s">
        <v>2215</v>
      </c>
      <c r="I72" s="606" t="s">
        <v>595</v>
      </c>
      <c r="J72" s="608">
        <f>'2Př'!G14</f>
        <v>0</v>
      </c>
      <c r="K72" s="605" t="s">
        <v>2215</v>
      </c>
      <c r="M72" s="606" t="s">
        <v>611</v>
      </c>
      <c r="N72" s="611">
        <f>'3Př'!F28</f>
        <v>0</v>
      </c>
      <c r="O72" s="605" t="s">
        <v>2215</v>
      </c>
      <c r="R72" s="607" t="str">
        <f>IF('1Př2'!F40&lt;&gt;"",IF(OR(ISNUMBER('1Př2'!F40),ISNUMBER(FIND("/",('1Př2'!F40)))),'1Př2'!F40,MID('1Př2'!F40,3,(LEN('1Př2'!F40)-2))),"")</f>
        <v/>
      </c>
      <c r="S72" s="607" t="str">
        <f>IF('1Př2'!B40&lt;&gt;"",'1Př2'!B40,"")</f>
        <v/>
      </c>
      <c r="T72" s="605" t="str">
        <f>IF('1Př2'!G40&lt;&gt;"",('1Př2'!G40)*100,"")</f>
        <v/>
      </c>
      <c r="U72" s="607" t="str">
        <f>IF('1Př2'!D40&lt;&gt;"",'1Př2'!D40,"")</f>
        <v/>
      </c>
    </row>
    <row r="73" spans="1:22">
      <c r="A73" s="606" t="s">
        <v>2327</v>
      </c>
      <c r="B73" s="605">
        <f>'DAP3'!H21</f>
        <v>0</v>
      </c>
      <c r="E73" s="606" t="s">
        <v>553</v>
      </c>
      <c r="F73" s="608" t="str">
        <f>IF(OR(N57=2,N58="A"),"",'1Př2'!G8)</f>
        <v/>
      </c>
      <c r="G73" s="605" t="s">
        <v>2215</v>
      </c>
      <c r="I73" s="606" t="s">
        <v>596</v>
      </c>
      <c r="J73" s="607" t="str">
        <f>IF('2Př'!J7&lt;&gt;"","A","N")</f>
        <v>N</v>
      </c>
      <c r="K73" s="605" t="s">
        <v>2215</v>
      </c>
      <c r="M73" s="606" t="s">
        <v>612</v>
      </c>
      <c r="N73" s="611">
        <f>'3Př'!F27</f>
        <v>0</v>
      </c>
      <c r="O73" s="605" t="s">
        <v>2215</v>
      </c>
    </row>
    <row r="74" spans="1:22">
      <c r="A74" s="606" t="s">
        <v>2328</v>
      </c>
      <c r="B74" s="605">
        <f>'DAP3'!J21</f>
        <v>0</v>
      </c>
      <c r="E74" s="606" t="s">
        <v>554</v>
      </c>
      <c r="F74" s="608" t="str">
        <f>IF(OR(N57=2,N58="A"),"",'1Př2'!G9)</f>
        <v/>
      </c>
      <c r="G74" s="605" t="s">
        <v>2215</v>
      </c>
      <c r="I74" s="606" t="s">
        <v>597</v>
      </c>
      <c r="J74" s="608">
        <f>'2Př'!G33</f>
        <v>0</v>
      </c>
      <c r="K74" s="605" t="s">
        <v>2215</v>
      </c>
      <c r="M74" s="606" t="s">
        <v>450</v>
      </c>
      <c r="N74" s="608">
        <f>'DAP2'!E15</f>
        <v>0</v>
      </c>
      <c r="R74" s="605" t="s">
        <v>2215</v>
      </c>
      <c r="S74" s="605" t="s">
        <v>2215</v>
      </c>
      <c r="T74" s="605" t="s">
        <v>2215</v>
      </c>
      <c r="U74" s="605" t="s">
        <v>2215</v>
      </c>
    </row>
    <row r="75" spans="1:22">
      <c r="A75" s="605" t="s">
        <v>2331</v>
      </c>
      <c r="B75" s="605">
        <f>'DAP3'!I21</f>
        <v>0</v>
      </c>
      <c r="E75" s="606" t="s">
        <v>555</v>
      </c>
      <c r="F75" s="608" t="str">
        <f>IF(OR(N57=2,N58="A"),"",'1Př2'!G12)</f>
        <v/>
      </c>
      <c r="G75" s="605" t="s">
        <v>2215</v>
      </c>
      <c r="I75" s="606" t="s">
        <v>598</v>
      </c>
      <c r="J75" s="608">
        <f>'2Př'!G35</f>
        <v>0</v>
      </c>
      <c r="K75" s="605" t="s">
        <v>2215</v>
      </c>
      <c r="M75" s="606" t="s">
        <v>451</v>
      </c>
      <c r="N75" s="608">
        <f>'DAP2'!E10</f>
        <v>0</v>
      </c>
    </row>
    <row r="76" spans="1:22">
      <c r="A76" s="606" t="s">
        <v>2332</v>
      </c>
      <c r="B76" s="605">
        <f>'DAP3'!K21</f>
        <v>0</v>
      </c>
      <c r="E76" s="606" t="s">
        <v>556</v>
      </c>
      <c r="F76" s="608" t="str">
        <f>IF(OR(N57=2,N58="A"),"",'1Př2'!G13)</f>
        <v/>
      </c>
      <c r="G76" s="605" t="s">
        <v>2215</v>
      </c>
      <c r="I76" s="606" t="s">
        <v>599</v>
      </c>
      <c r="J76" s="608">
        <f>'2Př'!G34</f>
        <v>0</v>
      </c>
      <c r="K76" s="605" t="s">
        <v>2215</v>
      </c>
      <c r="M76" s="606" t="s">
        <v>2622</v>
      </c>
      <c r="N76" s="608">
        <f>'3Př'!F10</f>
        <v>0</v>
      </c>
    </row>
    <row r="77" spans="1:22">
      <c r="A77" s="606" t="s">
        <v>2333</v>
      </c>
      <c r="B77" s="607" t="str">
        <f>IF('DAP2'!H45&lt;&gt;"",CONCATENATE(MID('DAP2'!H45,5,2),".",IF(VALUE(MID('DAP2'!H45,3,2))&lt;13,MID('DAP2'!H45,3,2),MID('DAP2'!H45,3,2)-50),".",IF(MID('DAP2'!H45,1,2)&lt;"5","20","19"),MID('DAP2'!H45,1,2)),"")</f>
        <v/>
      </c>
      <c r="E77" s="606" t="s">
        <v>557</v>
      </c>
      <c r="F77" s="608" t="str">
        <f>IF(OR(N57=2,N58="A"),"",'1Př2'!G14)</f>
        <v/>
      </c>
      <c r="G77" s="605" t="s">
        <v>2215</v>
      </c>
      <c r="I77" s="606" t="s">
        <v>600</v>
      </c>
      <c r="J77" s="607" t="str">
        <f>IF('2Př'!D7&lt;&gt;"","A","N")</f>
        <v>N</v>
      </c>
      <c r="K77" s="605" t="s">
        <v>2215</v>
      </c>
      <c r="M77" s="606" t="s">
        <v>2623</v>
      </c>
      <c r="N77" s="611">
        <f>'3Př'!F30</f>
        <v>0</v>
      </c>
    </row>
    <row r="78" spans="1:22">
      <c r="A78" s="606" t="s">
        <v>2444</v>
      </c>
      <c r="B78" s="605" t="str">
        <f>IF('DAP3'!E10&lt;&gt;"",'DAP3'!E10,"")</f>
        <v/>
      </c>
      <c r="I78" s="606" t="s">
        <v>2488</v>
      </c>
      <c r="J78" s="607" t="e">
        <f>IF('2Př'!#REF!&lt;&gt;"","A","N")</f>
        <v>#REF!</v>
      </c>
      <c r="M78" s="606" t="s">
        <v>2624</v>
      </c>
      <c r="N78" s="615">
        <f>'3Př'!F12</f>
        <v>0</v>
      </c>
    </row>
    <row r="79" spans="1:22">
      <c r="A79" s="606" t="s">
        <v>360</v>
      </c>
      <c r="B79" s="608">
        <f>'DAP3'!D46</f>
        <v>0</v>
      </c>
      <c r="M79" s="606" t="s">
        <v>2625</v>
      </c>
      <c r="N79" s="611">
        <f>'3Př'!F13</f>
        <v>0</v>
      </c>
    </row>
    <row r="80" spans="1:22">
      <c r="A80" s="606" t="s">
        <v>2616</v>
      </c>
      <c r="B80" s="608">
        <f>'4Př'!F21</f>
        <v>0</v>
      </c>
      <c r="Q80" s="605" t="s">
        <v>575</v>
      </c>
      <c r="R80" s="618" t="s">
        <v>578</v>
      </c>
      <c r="S80" s="618" t="s">
        <v>579</v>
      </c>
      <c r="T80" s="606" t="s">
        <v>580</v>
      </c>
      <c r="U80" s="618" t="s">
        <v>581</v>
      </c>
    </row>
    <row r="81" spans="1:21">
      <c r="A81" s="606" t="s">
        <v>2617</v>
      </c>
      <c r="B81" s="608">
        <f>'DAP3'!D25+'DAP3'!D26</f>
        <v>0</v>
      </c>
      <c r="R81" s="607" t="str">
        <f>IF('1Př2'!F44&lt;&gt;"",MID('1Př2'!F44,3,LEN('1Př2'!F44)-2),"")</f>
        <v/>
      </c>
      <c r="S81" s="607" t="str">
        <f>IF('1Př2'!B44&lt;&gt;"",'1Př2'!B44,"")</f>
        <v/>
      </c>
      <c r="T81" s="605" t="str">
        <f>IF('1Př2'!G44&lt;&gt;"",'1Př2'!G44*100,"")</f>
        <v/>
      </c>
      <c r="U81" s="607" t="str">
        <f>IF('1Př2'!D44&lt;&gt;"",'1Př2'!D44,"")</f>
        <v/>
      </c>
    </row>
    <row r="82" spans="1:21">
      <c r="A82" s="606" t="s">
        <v>2618</v>
      </c>
      <c r="B82" s="608">
        <f>'DAP3'!D30</f>
        <v>0</v>
      </c>
    </row>
    <row r="83" spans="1:21">
      <c r="A83" s="606" t="s">
        <v>2619</v>
      </c>
      <c r="B83" s="608">
        <f>'DAP3'!D31</f>
        <v>0</v>
      </c>
      <c r="R83" s="605" t="s">
        <v>2215</v>
      </c>
      <c r="S83" s="605" t="s">
        <v>2215</v>
      </c>
      <c r="T83" s="605" t="s">
        <v>2215</v>
      </c>
      <c r="U83" s="605" t="s">
        <v>2215</v>
      </c>
    </row>
    <row r="84" spans="1:21">
      <c r="A84" s="605" t="s">
        <v>2697</v>
      </c>
      <c r="B84" s="608">
        <f>'DAP2'!F42</f>
        <v>0</v>
      </c>
    </row>
    <row r="87" spans="1:21">
      <c r="A87" s="604" t="s">
        <v>633</v>
      </c>
    </row>
    <row r="88" spans="1:21">
      <c r="A88" s="606" t="s">
        <v>634</v>
      </c>
      <c r="B88" s="607"/>
    </row>
    <row r="89" spans="1:21">
      <c r="A89" s="606" t="s">
        <v>635</v>
      </c>
      <c r="B89" s="607" t="str">
        <f>IF('DAP4'!D55&lt;&gt;0,+CONCATENATE(ZAKL_DATA!B33),"")</f>
        <v/>
      </c>
      <c r="C89" s="605" t="s">
        <v>2226</v>
      </c>
    </row>
    <row r="90" spans="1:21">
      <c r="A90" s="606" t="s">
        <v>636</v>
      </c>
      <c r="B90" s="607"/>
      <c r="Q90" s="605" t="s">
        <v>576</v>
      </c>
      <c r="R90" s="618" t="s">
        <v>582</v>
      </c>
      <c r="S90" s="606" t="s">
        <v>583</v>
      </c>
    </row>
    <row r="91" spans="1:21">
      <c r="A91" s="606" t="s">
        <v>637</v>
      </c>
      <c r="B91" s="607"/>
      <c r="R91" s="607" t="str">
        <f>IF('1Př2'!F47&lt;&gt;"",MID('1Př2'!F47,3,LEN('1Př2'!F47)-2),"")</f>
        <v/>
      </c>
      <c r="S91" s="605" t="str">
        <f>IF('1Př2'!G47&lt;&gt;"",'1Př2'!G47*100,"")</f>
        <v/>
      </c>
    </row>
    <row r="92" spans="1:21">
      <c r="A92" s="606" t="s">
        <v>638</v>
      </c>
      <c r="B92" s="605" t="str">
        <f>IF('DAP4'!D55&lt;&gt;0,'DAP4'!D55,"")</f>
        <v/>
      </c>
      <c r="C92" s="605" t="s">
        <v>2226</v>
      </c>
    </row>
    <row r="93" spans="1:21">
      <c r="A93" s="606" t="s">
        <v>639</v>
      </c>
      <c r="B93" s="607"/>
      <c r="R93" s="605" t="s">
        <v>2215</v>
      </c>
      <c r="S93" s="605" t="s">
        <v>2215</v>
      </c>
    </row>
    <row r="94" spans="1:21">
      <c r="A94" s="606" t="s">
        <v>640</v>
      </c>
      <c r="B94" s="607" t="str">
        <f>IF('DAP4'!D55&lt;&gt;0,ZAKL_DATA!B18,"")</f>
        <v/>
      </c>
      <c r="C94" s="605" t="s">
        <v>2226</v>
      </c>
    </row>
    <row r="95" spans="1:21">
      <c r="A95" s="606" t="s">
        <v>641</v>
      </c>
      <c r="B95" s="607"/>
    </row>
    <row r="96" spans="1:21">
      <c r="A96" s="606" t="s">
        <v>642</v>
      </c>
      <c r="B96" s="607" t="str">
        <f>IF('DAP4'!D55&lt;&gt;0,+CONCATENATE('DAP1'!B28," ",'DAP1'!J28),"")</f>
        <v/>
      </c>
      <c r="C96" s="605" t="s">
        <v>2226</v>
      </c>
    </row>
    <row r="97" spans="1:23">
      <c r="A97" s="606" t="s">
        <v>643</v>
      </c>
      <c r="B97" s="607"/>
    </row>
    <row r="98" spans="1:23">
      <c r="A98" s="606" t="s">
        <v>644</v>
      </c>
      <c r="B98" s="607" t="str">
        <f>IF('DAP4'!D55&lt;&gt;0,ZAKL_DATA!B19,"")</f>
        <v/>
      </c>
      <c r="C98" s="605" t="s">
        <v>2226</v>
      </c>
    </row>
    <row r="99" spans="1:23">
      <c r="A99" s="606" t="s">
        <v>645</v>
      </c>
      <c r="B99" s="607"/>
    </row>
    <row r="100" spans="1:23">
      <c r="A100" s="606" t="s">
        <v>646</v>
      </c>
      <c r="B100" s="607" t="str">
        <f>IF('DAP4'!D55&lt;&gt;0,ZAKL_DATA!B18,"")</f>
        <v/>
      </c>
      <c r="C100" s="605" t="s">
        <v>2226</v>
      </c>
      <c r="Q100" s="605" t="s">
        <v>601</v>
      </c>
      <c r="R100" s="618" t="s">
        <v>604</v>
      </c>
      <c r="S100" s="618" t="s">
        <v>605</v>
      </c>
      <c r="T100" s="618" t="s">
        <v>606</v>
      </c>
      <c r="U100" s="606" t="s">
        <v>607</v>
      </c>
      <c r="V100" s="606" t="s">
        <v>608</v>
      </c>
      <c r="W100" s="606" t="s">
        <v>609</v>
      </c>
    </row>
    <row r="101" spans="1:23">
      <c r="A101" s="606" t="s">
        <v>647</v>
      </c>
      <c r="B101" s="607" t="str">
        <f>IF('DAP4'!D55&lt;&gt;0,IF(ZAKL_DATA!B20&lt;&gt;"",VLOOKUP(ZAKL_DATA!B20,FU!J3:K253,2,FALSE),"CZ"),"")</f>
        <v/>
      </c>
      <c r="C101" s="605" t="s">
        <v>2226</v>
      </c>
      <c r="R101" s="607" t="str">
        <f>IF('2Př'!B24&lt;&gt;"",'2Př'!B24,"")</f>
        <v/>
      </c>
      <c r="S101" s="607" t="str">
        <f>IF('2Př'!J24&lt;&gt;"",'2Př'!J24,"")</f>
        <v/>
      </c>
      <c r="T101" s="607" t="str">
        <f>IF('2Př'!B24&lt;&gt;"",MID('2Př'!B24,1,1),"")</f>
        <v/>
      </c>
      <c r="U101" s="605" t="str">
        <f>IF(AND('2Př'!D24&lt;&gt;"",'2Př'!D24&lt;&gt;0),'2Př'!D24,"")</f>
        <v/>
      </c>
      <c r="V101" s="605">
        <f>IF('2Př'!H24&lt;&gt;"",'2Př'!H24,"")</f>
        <v>0</v>
      </c>
      <c r="W101" s="605" t="str">
        <f>IF(AND('2Př'!F24&lt;&gt;"",'2Př'!F24&lt;&gt;0),'2Př'!F24,"")</f>
        <v/>
      </c>
    </row>
    <row r="102" spans="1:23">
      <c r="A102" s="606" t="s">
        <v>648</v>
      </c>
      <c r="B102" s="607"/>
      <c r="R102" s="607" t="str">
        <f>IF('2Př'!B25&lt;&gt;"",'2Př'!B25,"")</f>
        <v/>
      </c>
      <c r="S102" s="607" t="str">
        <f>IF('2Př'!J25&lt;&gt;"",'2Př'!J25,"")</f>
        <v/>
      </c>
      <c r="T102" s="607" t="str">
        <f>IF('2Př'!B25&lt;&gt;"",MID('2Př'!B25,1,1),"")</f>
        <v/>
      </c>
      <c r="U102" s="605" t="str">
        <f>IF(AND('2Př'!D25&lt;&gt;"",'2Př'!D25&lt;&gt;0),'2Př'!D25,"")</f>
        <v/>
      </c>
      <c r="V102" s="605">
        <f>IF('2Př'!H25&lt;&gt;"",'2Př'!H25,"")</f>
        <v>0</v>
      </c>
      <c r="W102" s="605" t="str">
        <f>IF(AND('2Př'!F25&lt;&gt;"",'2Př'!F25&lt;&gt;0),'2Př'!F25,"")</f>
        <v/>
      </c>
    </row>
    <row r="103" spans="1:23">
      <c r="A103" s="606" t="s">
        <v>649</v>
      </c>
      <c r="B103" s="607"/>
      <c r="R103" s="607" t="str">
        <f>IF('2Př'!B26&lt;&gt;"",'2Př'!B26,"")</f>
        <v/>
      </c>
      <c r="S103" s="607" t="str">
        <f>IF('2Př'!J26&lt;&gt;"",'2Př'!J26,"")</f>
        <v/>
      </c>
      <c r="T103" s="607" t="str">
        <f>IF('2Př'!B26&lt;&gt;"",MID('2Př'!B26,1,1),"")</f>
        <v/>
      </c>
      <c r="U103" s="605" t="str">
        <f>IF(AND('2Př'!D26&lt;&gt;"",'2Př'!D26&lt;&gt;0),'2Př'!D26,"")</f>
        <v/>
      </c>
      <c r="V103" s="605">
        <f>IF('2Př'!H26&lt;&gt;"",'2Př'!H26,"")</f>
        <v>0</v>
      </c>
      <c r="W103" s="605" t="str">
        <f>IF(AND('2Př'!F26&lt;&gt;"",'2Př'!F26&lt;&gt;0),'2Př'!F26,"")</f>
        <v/>
      </c>
    </row>
    <row r="104" spans="1:23">
      <c r="A104" s="606" t="s">
        <v>650</v>
      </c>
      <c r="B104" s="607" t="str">
        <f>IF('DAP4'!D55&lt;&gt;0,ZAKL_DATA!B16,"")</f>
        <v/>
      </c>
      <c r="C104" s="605" t="s">
        <v>2226</v>
      </c>
      <c r="R104" s="607" t="str">
        <f>IF('2Př'!B27&lt;&gt;"",'2Př'!B27,"")</f>
        <v/>
      </c>
      <c r="S104" s="607" t="str">
        <f>IF('2Př'!J27&lt;&gt;"",'2Př'!J27,"")</f>
        <v/>
      </c>
      <c r="T104" s="607" t="str">
        <f>IF('2Př'!B27&lt;&gt;"",MID('2Př'!B27,1,1),"")</f>
        <v/>
      </c>
      <c r="U104" s="605" t="str">
        <f>IF(AND('2Př'!D27&lt;&gt;"",'2Př'!D27&lt;&gt;0),'2Př'!D27,"")</f>
        <v/>
      </c>
      <c r="V104" s="605">
        <f>IF('2Př'!H27&lt;&gt;"",'2Př'!H27,"")</f>
        <v>0</v>
      </c>
      <c r="W104" s="605" t="str">
        <f>IF(AND('2Př'!F27&lt;&gt;"",'2Př'!F27&lt;&gt;0),'2Př'!F27,"")</f>
        <v/>
      </c>
    </row>
    <row r="105" spans="1:23">
      <c r="A105" s="606" t="s">
        <v>651</v>
      </c>
      <c r="B105" s="607" t="str">
        <f>IF('DAP4'!D55&lt;&gt;0,IF('DAP4'!G57&lt;&gt;"","U","A"),"")</f>
        <v/>
      </c>
      <c r="C105" s="605" t="s">
        <v>2226</v>
      </c>
    </row>
    <row r="106" spans="1:23">
      <c r="A106" s="606" t="s">
        <v>652</v>
      </c>
      <c r="B106" s="607" t="str">
        <f>IF('DAP4'!D55&lt;&gt;0,IF(ISNUMBER(FIND("-",ZAKL_DATA!B32)),MID(ZAKL_DATA!B32,(FIND("-",ZAKL_DATA!B32,1))+1,LEN(ZAKL_DATA!B32)),ZAKL_DATA!B32),"")</f>
        <v/>
      </c>
      <c r="C106" s="605" t="s">
        <v>2226</v>
      </c>
    </row>
    <row r="107" spans="1:23">
      <c r="A107" s="606" t="s">
        <v>653</v>
      </c>
      <c r="C107" s="605" t="s">
        <v>2226</v>
      </c>
    </row>
    <row r="108" spans="1:23">
      <c r="A108" s="606" t="s">
        <v>654</v>
      </c>
      <c r="B108" s="607" t="str">
        <f>IF('DAP4'!D55&lt;&gt;0,IF(ISNUMBER(FIND("/",ZAKL_DATA!B17)),MID(ZAKL_DATA!B17,(FIND("/",ZAKL_DATA!B17,1))+1,LEN(ZAKL_DATA!B17)),""),"")</f>
        <v/>
      </c>
      <c r="C108" s="605" t="s">
        <v>2226</v>
      </c>
    </row>
    <row r="109" spans="1:23">
      <c r="A109" s="606" t="s">
        <v>655</v>
      </c>
      <c r="B109" s="605" t="str">
        <f>IF('DAP4'!D55&lt;&gt;0,IF(ISNUMBER(FIND("/",ZAKL_DATA!B17)),LEFT(ZAKL_DATA!B17,(FIND("/",ZAKL_DATA!B17,1))-1),ZAKL_DATA!B17),"")</f>
        <v/>
      </c>
      <c r="C109" s="605" t="s">
        <v>2226</v>
      </c>
    </row>
    <row r="110" spans="1:23">
      <c r="A110" s="606" t="s">
        <v>656</v>
      </c>
      <c r="B110" s="607" t="str">
        <f>IF('DAP4'!D55&lt;&gt;0,ZAKL_DATA!B4,"")</f>
        <v/>
      </c>
      <c r="C110" s="605" t="s">
        <v>2226</v>
      </c>
      <c r="Q110" s="605" t="s">
        <v>603</v>
      </c>
      <c r="R110" s="618" t="s">
        <v>613</v>
      </c>
      <c r="S110" s="606" t="s">
        <v>614</v>
      </c>
      <c r="T110" s="618" t="s">
        <v>615</v>
      </c>
    </row>
    <row r="111" spans="1:23">
      <c r="A111" s="606" t="s">
        <v>657</v>
      </c>
      <c r="B111" s="605" t="str">
        <f>IF('DAP4'!D55&lt;&gt;0,ZAKL_DATA!B33,"")</f>
        <v/>
      </c>
      <c r="C111" s="605" t="s">
        <v>2226</v>
      </c>
      <c r="R111" s="607"/>
      <c r="T111" s="607"/>
    </row>
    <row r="112" spans="1:23">
      <c r="A112" s="606" t="s">
        <v>658</v>
      </c>
      <c r="B112" s="607" t="str">
        <f>IF('DAP4'!D55&lt;&gt;0,ZAKL_DATA!B34,"")</f>
        <v/>
      </c>
      <c r="C112" s="605" t="s">
        <v>2226</v>
      </c>
    </row>
    <row r="113" spans="1:28">
      <c r="A113" s="606" t="s">
        <v>659</v>
      </c>
      <c r="B113" s="607" t="str">
        <f>IF('DAP4'!D55&lt;&gt;0,ZAKL_DATA!B18,"")</f>
        <v/>
      </c>
      <c r="C113" s="605" t="s">
        <v>2226</v>
      </c>
      <c r="Q113" s="605" t="s">
        <v>2224</v>
      </c>
      <c r="R113" s="616" t="s">
        <v>2220</v>
      </c>
      <c r="S113" s="616"/>
      <c r="T113" s="616"/>
    </row>
    <row r="114" spans="1:28">
      <c r="A114" s="606" t="s">
        <v>660</v>
      </c>
      <c r="B114" s="605" t="str">
        <f>IF('DAP4'!D55&lt;&gt;0,IF(ISNUMBER(FIND("-",ZAKL_DATA!B32)),LEFT(ZAKL_DATA!B32,(FIND("-",ZAKL_DATA!B32,1))-1),""),"")</f>
        <v/>
      </c>
      <c r="C114" s="605" t="s">
        <v>2226</v>
      </c>
    </row>
    <row r="115" spans="1:28">
      <c r="A115" s="606" t="s">
        <v>661</v>
      </c>
      <c r="B115" s="607" t="str">
        <f>IF('DAP4'!D55&lt;&gt;0,ZAKL_DATA!B5,"")</f>
        <v/>
      </c>
      <c r="C115" s="605" t="s">
        <v>2226</v>
      </c>
    </row>
    <row r="116" spans="1:28">
      <c r="A116" s="606" t="s">
        <v>662</v>
      </c>
      <c r="B116" s="605" t="str">
        <f>IF('DAP4'!D55&lt;&gt;0,ZAKL_DATA!B19,"")</f>
        <v/>
      </c>
      <c r="C116" s="605" t="s">
        <v>2226</v>
      </c>
    </row>
    <row r="117" spans="1:28">
      <c r="A117" s="606" t="s">
        <v>663</v>
      </c>
      <c r="B117" s="607" t="str">
        <f>IF('DAP4'!D55&lt;&gt;0,'DAP4'!H58,"")</f>
        <v/>
      </c>
      <c r="C117" s="605" t="s">
        <v>2226</v>
      </c>
    </row>
    <row r="118" spans="1:28">
      <c r="A118" s="606" t="s">
        <v>664</v>
      </c>
      <c r="B118" s="607" t="str">
        <f>IF('DAP4'!D55&lt;&gt;0,ZAKL_DATA!B7,"")</f>
        <v/>
      </c>
      <c r="C118" s="605" t="s">
        <v>2226</v>
      </c>
    </row>
    <row r="119" spans="1:28">
      <c r="A119" s="606" t="s">
        <v>665</v>
      </c>
      <c r="B119" s="607" t="str">
        <f>IF('DAP4'!D55&lt;&gt;0,ZAKL_DATA!B16,"")</f>
        <v/>
      </c>
      <c r="C119" s="605" t="s">
        <v>2226</v>
      </c>
    </row>
    <row r="120" spans="1:28">
      <c r="Q120" s="605" t="s">
        <v>616</v>
      </c>
      <c r="R120" s="606" t="s">
        <v>618</v>
      </c>
      <c r="S120" s="606" t="s">
        <v>619</v>
      </c>
      <c r="T120" s="606" t="s">
        <v>620</v>
      </c>
      <c r="U120" s="606" t="s">
        <v>621</v>
      </c>
      <c r="V120" s="606" t="s">
        <v>622</v>
      </c>
      <c r="W120" s="606" t="s">
        <v>623</v>
      </c>
      <c r="X120" s="606" t="s">
        <v>624</v>
      </c>
      <c r="Y120" s="618" t="s">
        <v>625</v>
      </c>
      <c r="Z120" s="606" t="s">
        <v>626</v>
      </c>
      <c r="AA120" s="606" t="s">
        <v>627</v>
      </c>
      <c r="AB120" s="606" t="s">
        <v>2626</v>
      </c>
    </row>
    <row r="121" spans="1:28">
      <c r="R121" s="611">
        <f>'3Př_a'!F17</f>
        <v>0</v>
      </c>
      <c r="S121" s="608">
        <f>'3Př_a'!F14</f>
        <v>0</v>
      </c>
      <c r="T121" s="608">
        <f>'3Př_a'!F12</f>
        <v>0</v>
      </c>
      <c r="U121" s="608">
        <f>'3Př_a'!F13</f>
        <v>0</v>
      </c>
      <c r="V121" s="611">
        <f>'3Př_a'!F16</f>
        <v>0</v>
      </c>
      <c r="W121" s="608">
        <f>'3Př_a'!F12</f>
        <v>0</v>
      </c>
      <c r="X121" s="608">
        <f>'3Př_a'!F13</f>
        <v>0</v>
      </c>
      <c r="Y121" s="607" t="str">
        <f>IF('3Př_a'!C8&lt;&gt;"",'3Př_a'!C8,"")</f>
        <v/>
      </c>
      <c r="Z121" s="605">
        <f>'3Př_a'!F15*100</f>
        <v>0</v>
      </c>
      <c r="AA121" s="611">
        <f>'3Př_a'!F18</f>
        <v>0</v>
      </c>
      <c r="AB121" s="608">
        <f>'3Př_a'!F14</f>
        <v>0</v>
      </c>
    </row>
    <row r="123" spans="1:28">
      <c r="T123" s="616" t="s">
        <v>2221</v>
      </c>
      <c r="U123" s="616"/>
    </row>
    <row r="124" spans="1:28">
      <c r="T124" s="605" t="s">
        <v>2225</v>
      </c>
    </row>
    <row r="130" spans="17:55">
      <c r="Q130" s="605" t="s">
        <v>617</v>
      </c>
      <c r="R130" s="618" t="s">
        <v>628</v>
      </c>
      <c r="S130" s="606" t="s">
        <v>629</v>
      </c>
      <c r="T130" s="606" t="s">
        <v>630</v>
      </c>
      <c r="U130" s="606" t="s">
        <v>631</v>
      </c>
      <c r="V130" s="606" t="s">
        <v>632</v>
      </c>
    </row>
    <row r="131" spans="17:55">
      <c r="R131" s="607">
        <f>IF('6Př'!B12&lt;&gt;"",'6Př'!B12,"")</f>
        <v>2024</v>
      </c>
      <c r="S131" s="605">
        <f>IF('6Př'!C12&lt;&gt;"",'6Př'!C12,"")</f>
        <v>0</v>
      </c>
      <c r="T131" s="605">
        <f>IF('6Př'!D12&lt;&gt;"",'6Př'!D12,"")</f>
        <v>0</v>
      </c>
      <c r="U131" s="605">
        <f>IF('6Př'!E12&lt;&gt;"",'6Př'!E12,"")</f>
        <v>0</v>
      </c>
      <c r="V131" s="605">
        <f>IF('6Př'!F12&lt;&gt;"",'6Př'!F12,"")</f>
        <v>0</v>
      </c>
      <c r="X131" s="605" t="s">
        <v>2215</v>
      </c>
    </row>
    <row r="132" spans="17:55">
      <c r="R132" s="607" t="str">
        <f>IF('6Př'!B13&lt;&gt;"",'6Př'!B13,"")</f>
        <v/>
      </c>
      <c r="S132" s="605" t="str">
        <f>IF('6Př'!C13&lt;&gt;"",'6Př'!C13,"")</f>
        <v/>
      </c>
      <c r="T132" s="605" t="str">
        <f>IF('6Př'!D13&lt;&gt;"",'6Př'!D13,"")</f>
        <v/>
      </c>
      <c r="U132" s="605" t="str">
        <f>IF('6Př'!E13&lt;&gt;"",'6Př'!E13,"")</f>
        <v/>
      </c>
      <c r="V132" s="605">
        <f>IF('6Př'!F13&lt;&gt;"",'6Př'!F13,"")</f>
        <v>0</v>
      </c>
    </row>
    <row r="133" spans="17:55">
      <c r="R133" s="607" t="str">
        <f>IF('6Př'!B14&lt;&gt;"",'6Př'!B14,"")</f>
        <v/>
      </c>
      <c r="S133" s="605" t="str">
        <f>IF('6Př'!C14&lt;&gt;"",'6Př'!C14,"")</f>
        <v/>
      </c>
      <c r="T133" s="605" t="str">
        <f>IF('6Př'!D14&lt;&gt;"",'6Př'!D14,"")</f>
        <v/>
      </c>
      <c r="U133" s="605" t="str">
        <f>IF('6Př'!E14&lt;&gt;"",'6Př'!E14,"")</f>
        <v/>
      </c>
      <c r="V133" s="605">
        <f>IF('6Př'!F14&lt;&gt;"",'6Př'!F14,"")</f>
        <v>0</v>
      </c>
    </row>
    <row r="134" spans="17:55">
      <c r="R134" s="607" t="str">
        <f>IF('6Př'!B15&lt;&gt;"",'6Př'!B15,"")</f>
        <v/>
      </c>
      <c r="S134" s="605" t="str">
        <f>IF('6Př'!C15&lt;&gt;"",'6Př'!C15,"")</f>
        <v/>
      </c>
      <c r="T134" s="605" t="str">
        <f>IF('6Př'!D15&lt;&gt;"",'6Př'!D15,"")</f>
        <v/>
      </c>
      <c r="U134" s="605" t="str">
        <f>IF('6Př'!E15&lt;&gt;"",'6Př'!E15,"")</f>
        <v/>
      </c>
      <c r="V134" s="605">
        <f>IF('6Př'!F15&lt;&gt;"",'6Př'!F15,"")</f>
        <v>0</v>
      </c>
    </row>
    <row r="135" spans="17:55">
      <c r="R135" s="607" t="str">
        <f>IF('6Př'!B16&lt;&gt;"",'6Př'!B16,"")</f>
        <v/>
      </c>
      <c r="S135" s="605" t="str">
        <f>IF('6Př'!C16&lt;&gt;"",'6Př'!C16,"")</f>
        <v/>
      </c>
      <c r="T135" s="605" t="str">
        <f>IF('6Př'!D16&lt;&gt;"",'6Př'!D16,"")</f>
        <v/>
      </c>
      <c r="U135" s="605" t="str">
        <f>IF('6Př'!E16&lt;&gt;"",'6Př'!E16,"")</f>
        <v/>
      </c>
      <c r="V135" s="605">
        <f>IF('6Př'!F16&lt;&gt;"",'6Př'!F16,"")</f>
        <v>0</v>
      </c>
    </row>
    <row r="136" spans="17:55">
      <c r="R136" s="607" t="str">
        <f>IF('6Př'!B17&lt;&gt;"",'6Př'!B17,"")</f>
        <v/>
      </c>
      <c r="S136" s="605" t="str">
        <f>IF('6Př'!C17&lt;&gt;"",'6Př'!C17,"")</f>
        <v/>
      </c>
      <c r="T136" s="605" t="str">
        <f>IF('6Př'!D17&lt;&gt;"",'6Př'!D17,"")</f>
        <v/>
      </c>
      <c r="U136" s="605" t="str">
        <f>IF('6Př'!E17&lt;&gt;"",'6Př'!E17,"")</f>
        <v/>
      </c>
      <c r="V136" s="605">
        <f>IF('6Př'!F17&lt;&gt;"",'6Př'!F17,"")</f>
        <v>0</v>
      </c>
    </row>
    <row r="137" spans="17:55">
      <c r="R137" s="607" t="str">
        <f>IF('6Př'!B18&lt;&gt;"",'6Př'!B18,"")</f>
        <v/>
      </c>
      <c r="S137" s="605" t="str">
        <f>IF('6Př'!C18&lt;&gt;"",'6Př'!C18,"")</f>
        <v/>
      </c>
      <c r="T137" s="605" t="str">
        <f>IF('6Př'!D18&lt;&gt;"",'6Př'!D18,"")</f>
        <v/>
      </c>
      <c r="U137" s="605" t="str">
        <f>IF('6Př'!E18&lt;&gt;"",'6Př'!E18,"")</f>
        <v/>
      </c>
      <c r="V137" s="605">
        <f>IF('6Př'!F18&lt;&gt;"",'6Př'!F18,"")</f>
        <v>0</v>
      </c>
    </row>
    <row r="138" spans="17:55">
      <c r="R138" s="607" t="str">
        <f>IF('6Př'!B19&lt;&gt;"",'6Př'!B19,"")</f>
        <v/>
      </c>
      <c r="S138" s="605" t="str">
        <f>IF('6Př'!C19&lt;&gt;"",'6Př'!C19,"")</f>
        <v/>
      </c>
      <c r="T138" s="605" t="str">
        <f>IF('6Př'!D19&lt;&gt;"",'6Př'!D19,"")</f>
        <v/>
      </c>
      <c r="U138" s="605" t="str">
        <f>IF('6Př'!E19&lt;&gt;"",'6Př'!E19,"")</f>
        <v/>
      </c>
      <c r="V138" s="605">
        <f>IF('6Př'!F19&lt;&gt;"",'6Př'!F19,"")</f>
        <v>0</v>
      </c>
    </row>
    <row r="140" spans="17:55">
      <c r="R140" s="605" t="s">
        <v>2215</v>
      </c>
      <c r="S140" s="605" t="s">
        <v>2215</v>
      </c>
      <c r="T140" s="605" t="s">
        <v>2215</v>
      </c>
      <c r="U140" s="605" t="s">
        <v>2215</v>
      </c>
      <c r="V140" s="605" t="s">
        <v>2215</v>
      </c>
    </row>
    <row r="143" spans="17:55">
      <c r="Q143" s="605" t="s">
        <v>666</v>
      </c>
      <c r="R143" s="606" t="s">
        <v>2703</v>
      </c>
      <c r="S143" s="606" t="s">
        <v>668</v>
      </c>
      <c r="T143" s="606" t="s">
        <v>669</v>
      </c>
      <c r="U143" s="606" t="s">
        <v>670</v>
      </c>
      <c r="V143" s="606" t="s">
        <v>671</v>
      </c>
      <c r="W143" s="606" t="s">
        <v>2340</v>
      </c>
      <c r="AL143" s="606"/>
      <c r="AM143" s="606"/>
      <c r="AN143" s="606"/>
      <c r="AO143" s="606"/>
      <c r="AP143" s="606"/>
      <c r="AQ143" s="606"/>
      <c r="AR143" s="606"/>
      <c r="AS143" s="606"/>
      <c r="AT143" s="606"/>
      <c r="AU143" s="606"/>
      <c r="AV143" s="606"/>
      <c r="AW143" s="606"/>
      <c r="AX143" s="606"/>
      <c r="AY143" s="606"/>
      <c r="AZ143" s="606"/>
      <c r="BA143" s="606"/>
      <c r="BB143" s="606"/>
      <c r="BC143" s="606"/>
    </row>
    <row r="144" spans="17:55">
      <c r="R144" s="607"/>
    </row>
    <row r="146" spans="17:22">
      <c r="R146" s="616" t="s">
        <v>2222</v>
      </c>
      <c r="S146" s="616"/>
      <c r="T146" s="616"/>
      <c r="U146" s="616"/>
      <c r="V146" s="616"/>
    </row>
    <row r="153" spans="17:22">
      <c r="Q153" s="605" t="s">
        <v>667</v>
      </c>
      <c r="R153" s="606" t="s">
        <v>672</v>
      </c>
      <c r="S153" s="618" t="s">
        <v>673</v>
      </c>
      <c r="T153" s="618" t="s">
        <v>674</v>
      </c>
      <c r="U153" s="606" t="s">
        <v>675</v>
      </c>
      <c r="V153" s="606" t="s">
        <v>676</v>
      </c>
    </row>
    <row r="154" spans="17:22">
      <c r="R154" s="605" t="str">
        <f>IF(Př_b!E10&lt;&gt;"",Př_b!E10,"")</f>
        <v/>
      </c>
      <c r="S154" s="607" t="str">
        <f>IF(AND(Př_b!B10&lt;&gt;"",Př_b!B10&lt;&gt;0),Př_b!B10,"")</f>
        <v/>
      </c>
      <c r="T154" s="607" t="str">
        <f>IF(AND(Př_b!C10&lt;&gt;"",Př_b!C10&lt;&gt;0),VLOOKUP(Př_b!C10,FU!$J$3:$K$253,2,FALSE),"")</f>
        <v/>
      </c>
      <c r="U154" s="605" t="str">
        <f>IF(Př_b!F10&lt;&gt;"",Př_b!F10,"")</f>
        <v/>
      </c>
      <c r="V154" s="605" t="str">
        <f>IF(Př_b!D10&lt;&gt;"",Př_b!D10,"")</f>
        <v/>
      </c>
    </row>
    <row r="155" spans="17:22">
      <c r="R155" s="605" t="str">
        <f>IF(Př_b!E11&lt;&gt;"",Př_b!E11,"")</f>
        <v/>
      </c>
      <c r="S155" s="607" t="str">
        <f>IF(AND(Př_b!B11&lt;&gt;"",Př_b!B11&lt;&gt;0),Př_b!B11,"")</f>
        <v/>
      </c>
      <c r="T155" s="607" t="str">
        <f>IF(AND(Př_b!C11&lt;&gt;"",Př_b!C11&lt;&gt;0),VLOOKUP(Př_b!C11,FU!$J$3:$K$253,2,FALSE),"")</f>
        <v/>
      </c>
      <c r="U155" s="605" t="str">
        <f>IF(Př_b!F11&lt;&gt;"",Př_b!F11,"")</f>
        <v/>
      </c>
      <c r="V155" s="605" t="str">
        <f>IF(Př_b!D11&lt;&gt;"",Př_b!D11,"")</f>
        <v/>
      </c>
    </row>
    <row r="156" spans="17:22">
      <c r="R156" s="605" t="str">
        <f>IF(Př_b!E12&lt;&gt;"",Př_b!E12,"")</f>
        <v/>
      </c>
      <c r="S156" s="607" t="str">
        <f>IF(AND(Př_b!B12&lt;&gt;"",Př_b!B12&lt;&gt;0),Př_b!B12,"")</f>
        <v/>
      </c>
      <c r="T156" s="607" t="str">
        <f>IF(AND(Př_b!C12&lt;&gt;"",Př_b!C12&lt;&gt;0),VLOOKUP(Př_b!C12,FU!$J$3:$K$253,2,FALSE),"")</f>
        <v/>
      </c>
      <c r="U156" s="605" t="str">
        <f>IF(Př_b!F12&lt;&gt;"",Př_b!F12,"")</f>
        <v/>
      </c>
      <c r="V156" s="605" t="str">
        <f>IF(Př_b!D12&lt;&gt;"",Př_b!D12,"")</f>
        <v/>
      </c>
    </row>
    <row r="157" spans="17:22">
      <c r="R157" s="605" t="str">
        <f>IF(Př_b!E13&lt;&gt;"",Př_b!E13,"")</f>
        <v/>
      </c>
      <c r="S157" s="607" t="str">
        <f>IF(AND(Př_b!B13&lt;&gt;"",Př_b!B13&lt;&gt;0),Př_b!B13,"")</f>
        <v/>
      </c>
      <c r="T157" s="607" t="str">
        <f>IF(AND(Př_b!C13&lt;&gt;"",Př_b!C13&lt;&gt;0),VLOOKUP(Př_b!C13,FU!$J$3:$K$253,2,FALSE),"")</f>
        <v/>
      </c>
      <c r="U157" s="605" t="str">
        <f>IF(Př_b!F13&lt;&gt;"",Př_b!F13,"")</f>
        <v/>
      </c>
      <c r="V157" s="605" t="str">
        <f>IF(Př_b!D13&lt;&gt;"",Př_b!D13,"")</f>
        <v/>
      </c>
    </row>
    <row r="158" spans="17:22">
      <c r="R158" s="605" t="str">
        <f>IF(Př_b!E14&lt;&gt;"",Př_b!E14,"")</f>
        <v/>
      </c>
      <c r="S158" s="607" t="str">
        <f>IF(AND(Př_b!B14&lt;&gt;"",Př_b!B14&lt;&gt;0),Př_b!B14,"")</f>
        <v/>
      </c>
      <c r="T158" s="607" t="str">
        <f>IF(AND(Př_b!C14&lt;&gt;"",Př_b!C14&lt;&gt;0),VLOOKUP(Př_b!C14,FU!$J$3:$K$253,2,FALSE),"")</f>
        <v/>
      </c>
      <c r="U158" s="605" t="str">
        <f>IF(Př_b!F14&lt;&gt;"",Př_b!F14,"")</f>
        <v/>
      </c>
      <c r="V158" s="605" t="str">
        <f>IF(Př_b!D14&lt;&gt;"",Př_b!D14,"")</f>
        <v/>
      </c>
    </row>
    <row r="159" spans="17:22">
      <c r="R159" s="605" t="str">
        <f>IF(Př_b!E15&lt;&gt;"",Př_b!E15,"")</f>
        <v/>
      </c>
      <c r="S159" s="607" t="str">
        <f>IF(AND(Př_b!B15&lt;&gt;"",Př_b!B15&lt;&gt;0),Př_b!B15,"")</f>
        <v/>
      </c>
      <c r="T159" s="607" t="str">
        <f>IF(AND(Př_b!C15&lt;&gt;"",Př_b!C15&lt;&gt;0),VLOOKUP(Př_b!C15,FU!$J$3:$K$253,2,FALSE),"")</f>
        <v/>
      </c>
      <c r="U159" s="605" t="str">
        <f>IF(Př_b!F15&lt;&gt;"",Př_b!F15,"")</f>
        <v/>
      </c>
      <c r="V159" s="605" t="str">
        <f>IF(Př_b!D15&lt;&gt;"",Př_b!D15,"")</f>
        <v/>
      </c>
    </row>
    <row r="160" spans="17:22">
      <c r="R160" s="605" t="str">
        <f>IF(Př_b!E16&lt;&gt;"",Př_b!E16,"")</f>
        <v/>
      </c>
      <c r="S160" s="607" t="str">
        <f>IF(AND(Př_b!B16&lt;&gt;"",Př_b!B16&lt;&gt;0),Př_b!B16,"")</f>
        <v/>
      </c>
      <c r="T160" s="607" t="str">
        <f>IF(AND(Př_b!C16&lt;&gt;"",Př_b!C16&lt;&gt;0),VLOOKUP(Př_b!C16,FU!$J$3:$K$253,2,FALSE),"")</f>
        <v/>
      </c>
      <c r="U160" s="605" t="str">
        <f>IF(Př_b!F16&lt;&gt;"",Př_b!F16,"")</f>
        <v/>
      </c>
      <c r="V160" s="605" t="str">
        <f>IF(Př_b!D16&lt;&gt;"",Př_b!D16,"")</f>
        <v/>
      </c>
    </row>
    <row r="161" spans="18:28">
      <c r="R161" s="605" t="str">
        <f>IF(Př_b!E17&lt;&gt;"",Př_b!E17,"")</f>
        <v/>
      </c>
      <c r="S161" s="607" t="str">
        <f>IF(AND(Př_b!B17&lt;&gt;"",Př_b!B17&lt;&gt;0),Př_b!B17,"")</f>
        <v/>
      </c>
      <c r="T161" s="607" t="str">
        <f>IF(AND(Př_b!C17&lt;&gt;"",Př_b!C17&lt;&gt;0),VLOOKUP(Př_b!C17,FU!$J$3:$K$253,2,FALSE),"")</f>
        <v/>
      </c>
      <c r="U161" s="605" t="str">
        <f>IF(Př_b!F17&lt;&gt;"",Př_b!F17,"")</f>
        <v/>
      </c>
      <c r="V161" s="605" t="str">
        <f>IF(Př_b!D17&lt;&gt;"",Př_b!D17,"")</f>
        <v/>
      </c>
    </row>
    <row r="162" spans="18:28">
      <c r="R162" s="605" t="str">
        <f>IF(Př_b!E18&lt;&gt;"",Př_b!E18,"")</f>
        <v/>
      </c>
      <c r="S162" s="607" t="str">
        <f>IF(AND(Př_b!B18&lt;&gt;"",Př_b!B18&lt;&gt;0),Př_b!B18,"")</f>
        <v/>
      </c>
      <c r="T162" s="607" t="str">
        <f>IF(AND(Př_b!C18&lt;&gt;"",Př_b!C18&lt;&gt;0),VLOOKUP(Př_b!C18,FU!$J$3:$K$253,2,FALSE),"")</f>
        <v/>
      </c>
      <c r="U162" s="605" t="str">
        <f>IF(Př_b!F18&lt;&gt;"",Př_b!F18,"")</f>
        <v/>
      </c>
      <c r="V162" s="605" t="str">
        <f>IF(Př_b!D18&lt;&gt;"",Př_b!D18,"")</f>
        <v/>
      </c>
    </row>
    <row r="163" spans="18:28">
      <c r="R163" s="605" t="str">
        <f>IF(Př_b!E19&lt;&gt;"",Př_b!E19,"")</f>
        <v/>
      </c>
      <c r="S163" s="607" t="str">
        <f>IF(AND(Př_b!B19&lt;&gt;"",Př_b!B19&lt;&gt;0),Př_b!B19,"")</f>
        <v/>
      </c>
      <c r="T163" s="607" t="str">
        <f>IF(AND(Př_b!C19&lt;&gt;"",Př_b!C19&lt;&gt;0),VLOOKUP(Př_b!C19,FU!$J$3:$K$253,2,FALSE),"")</f>
        <v/>
      </c>
      <c r="U163" s="605" t="str">
        <f>IF(Př_b!F19&lt;&gt;"",Př_b!F19,"")</f>
        <v/>
      </c>
      <c r="V163" s="605" t="str">
        <f>IF(Př_b!D19&lt;&gt;"",Př_b!D19,"")</f>
        <v/>
      </c>
    </row>
    <row r="164" spans="18:28">
      <c r="R164" s="605" t="str">
        <f>IF(Př_b!E20&lt;&gt;"",Př_b!E20,"")</f>
        <v/>
      </c>
      <c r="S164" s="607" t="str">
        <f>IF(AND(Př_b!B20&lt;&gt;"",Př_b!B20&lt;&gt;0),Př_b!B20,"")</f>
        <v/>
      </c>
      <c r="T164" s="607" t="str">
        <f>IF(AND(Př_b!C20&lt;&gt;"",Př_b!C20&lt;&gt;0),VLOOKUP(Př_b!C20,FU!$J$3:$K$253,2,FALSE),"")</f>
        <v/>
      </c>
      <c r="U164" s="605" t="str">
        <f>IF(Př_b!F20&lt;&gt;"",Př_b!F20,"")</f>
        <v/>
      </c>
      <c r="V164" s="605" t="str">
        <f>IF(Př_b!D20&lt;&gt;"",Př_b!D20,"")</f>
        <v/>
      </c>
    </row>
    <row r="165" spans="18:28">
      <c r="R165" s="605" t="str">
        <f>IF(Př_b!E21&lt;&gt;"",Př_b!E21,"")</f>
        <v/>
      </c>
      <c r="S165" s="607" t="str">
        <f>IF(AND(Př_b!B21&lt;&gt;"",Př_b!B21&lt;&gt;0),Př_b!B21,"")</f>
        <v/>
      </c>
      <c r="T165" s="607" t="str">
        <f>IF(AND(Př_b!C21&lt;&gt;"",Př_b!C21&lt;&gt;0),VLOOKUP(Př_b!C21,FU!$J$3:$K$253,2,FALSE),"")</f>
        <v/>
      </c>
      <c r="U165" s="605" t="str">
        <f>IF(Př_b!F21&lt;&gt;"",Př_b!F21,"")</f>
        <v/>
      </c>
      <c r="V165" s="605" t="str">
        <f>IF(Př_b!D21&lt;&gt;"",Př_b!D21,"")</f>
        <v/>
      </c>
    </row>
    <row r="166" spans="18:28">
      <c r="R166" s="605" t="str">
        <f>IF(Př_b!E22&lt;&gt;"",Př_b!E22,"")</f>
        <v/>
      </c>
      <c r="S166" s="607" t="str">
        <f>IF(AND(Př_b!B22&lt;&gt;"",Př_b!B22&lt;&gt;0),Př_b!B22,"")</f>
        <v/>
      </c>
      <c r="T166" s="607" t="str">
        <f>IF(AND(Př_b!C22&lt;&gt;"",Př_b!C22&lt;&gt;0),VLOOKUP(Př_b!C22,FU!$J$3:$K$253,2,FALSE),"")</f>
        <v/>
      </c>
      <c r="U166" s="605" t="str">
        <f>IF(Př_b!F22&lt;&gt;"",Př_b!F22,"")</f>
        <v/>
      </c>
      <c r="V166" s="605" t="str">
        <f>IF(Př_b!D22&lt;&gt;"",Př_b!D22,"")</f>
        <v/>
      </c>
    </row>
    <row r="167" spans="18:28">
      <c r="R167" s="605" t="str">
        <f>IF(Př_b!E23&lt;&gt;"",Př_b!E23,"")</f>
        <v/>
      </c>
      <c r="S167" s="607" t="str">
        <f>IF(AND(Př_b!B23&lt;&gt;"",Př_b!B23&lt;&gt;0),Př_b!B23,"")</f>
        <v/>
      </c>
      <c r="T167" s="607" t="str">
        <f>IF(AND(Př_b!C23&lt;&gt;"",Př_b!C23&lt;&gt;0),VLOOKUP(Př_b!C23,FU!$J$3:$K$253,2,FALSE),"")</f>
        <v/>
      </c>
      <c r="U167" s="605" t="str">
        <f>IF(Př_b!F23&lt;&gt;"",Př_b!F23,"")</f>
        <v/>
      </c>
      <c r="V167" s="605" t="str">
        <f>IF(Př_b!D23&lt;&gt;"",Př_b!D23,"")</f>
        <v/>
      </c>
    </row>
    <row r="168" spans="18:28">
      <c r="R168" s="605" t="str">
        <f>IF(Př_b!E24&lt;&gt;"",Př_b!E24,"")</f>
        <v/>
      </c>
      <c r="S168" s="607" t="str">
        <f>IF(AND(Př_b!B24&lt;&gt;"",Př_b!B24&lt;&gt;0),Př_b!B24,"")</f>
        <v/>
      </c>
      <c r="T168" s="607" t="str">
        <f>IF(AND(Př_b!C24&lt;&gt;"",Př_b!C24&lt;&gt;0),VLOOKUP(Př_b!C24,FU!$J$3:$K$253,2,FALSE),"")</f>
        <v/>
      </c>
      <c r="U168" s="605" t="str">
        <f>IF(Př_b!F24&lt;&gt;"",Př_b!F24,"")</f>
        <v/>
      </c>
      <c r="V168" s="605" t="str">
        <f>IF(Př_b!D24&lt;&gt;"",Př_b!D24,"")</f>
        <v/>
      </c>
    </row>
    <row r="169" spans="18:28">
      <c r="R169" s="605" t="str">
        <f>IF(Př_b!E25&lt;&gt;"",Př_b!E25,"")</f>
        <v/>
      </c>
      <c r="S169" s="607" t="str">
        <f>IF(AND(Př_b!B25&lt;&gt;"",Př_b!B25&lt;&gt;0),Př_b!B25,"")</f>
        <v/>
      </c>
      <c r="T169" s="607" t="str">
        <f>IF(AND(Př_b!C25&lt;&gt;"",Př_b!C25&lt;&gt;0),VLOOKUP(Př_b!C25,FU!$J$3:$K$253,2,FALSE),"")</f>
        <v/>
      </c>
      <c r="U169" s="605" t="str">
        <f>IF(Př_b!F25&lt;&gt;"",Př_b!F25,"")</f>
        <v/>
      </c>
      <c r="V169" s="605" t="str">
        <f>IF(Př_b!D25&lt;&gt;"",Př_b!D25,"")</f>
        <v/>
      </c>
    </row>
    <row r="171" spans="18:28">
      <c r="R171" s="605" t="s">
        <v>2215</v>
      </c>
      <c r="S171" s="605" t="s">
        <v>2215</v>
      </c>
      <c r="T171" s="605" t="s">
        <v>2215</v>
      </c>
      <c r="U171" s="605" t="s">
        <v>2215</v>
      </c>
      <c r="V171" s="605" t="s">
        <v>2215</v>
      </c>
    </row>
    <row r="176" spans="18:28">
      <c r="AB176" s="605">
        <v>1</v>
      </c>
    </row>
    <row r="177" spans="17:55">
      <c r="Q177" s="605" t="s">
        <v>677</v>
      </c>
      <c r="R177" s="606" t="s">
        <v>679</v>
      </c>
      <c r="S177" s="606" t="s">
        <v>680</v>
      </c>
      <c r="T177" s="606" t="s">
        <v>681</v>
      </c>
      <c r="U177" s="606" t="s">
        <v>682</v>
      </c>
      <c r="V177" s="606" t="s">
        <v>683</v>
      </c>
      <c r="W177" s="606" t="s">
        <v>684</v>
      </c>
      <c r="Y177" s="605" t="s">
        <v>2447</v>
      </c>
      <c r="Z177" s="605" t="s">
        <v>2448</v>
      </c>
      <c r="AA177" s="605" t="s">
        <v>2449</v>
      </c>
      <c r="AB177" s="606" t="s">
        <v>679</v>
      </c>
      <c r="AC177" s="606" t="s">
        <v>680</v>
      </c>
      <c r="AD177" s="606" t="s">
        <v>685</v>
      </c>
      <c r="AE177" s="606" t="s">
        <v>686</v>
      </c>
      <c r="AI177" s="605" t="s">
        <v>678</v>
      </c>
      <c r="AJ177" s="606" t="s">
        <v>679</v>
      </c>
      <c r="AK177" s="606" t="s">
        <v>680</v>
      </c>
      <c r="AL177" s="606" t="s">
        <v>685</v>
      </c>
      <c r="AM177" s="606" t="s">
        <v>686</v>
      </c>
      <c r="AP177" s="605" t="s">
        <v>687</v>
      </c>
      <c r="AQ177" s="606" t="s">
        <v>679</v>
      </c>
      <c r="AR177" s="606" t="s">
        <v>680</v>
      </c>
      <c r="AS177" s="606" t="s">
        <v>685</v>
      </c>
      <c r="AT177" s="606" t="s">
        <v>686</v>
      </c>
      <c r="AV177" s="605" t="s">
        <v>2447</v>
      </c>
      <c r="AW177" s="605" t="s">
        <v>2448</v>
      </c>
      <c r="AX177" s="605" t="s">
        <v>2449</v>
      </c>
      <c r="AY177" s="605" t="s">
        <v>688</v>
      </c>
      <c r="AZ177" s="606" t="s">
        <v>679</v>
      </c>
      <c r="BA177" s="606" t="s">
        <v>680</v>
      </c>
      <c r="BB177" s="606" t="s">
        <v>685</v>
      </c>
      <c r="BC177" s="606" t="s">
        <v>686</v>
      </c>
    </row>
    <row r="178" spans="17:55">
      <c r="Q178" s="605">
        <v>1</v>
      </c>
      <c r="R178" s="605">
        <f t="shared" ref="R178:R209" si="1">$Q$178</f>
        <v>1</v>
      </c>
      <c r="S178" s="605">
        <f>IF($B$38="P",Y178,IF($B$38="Z",IF(Z178&lt;&gt;"",Z178,""),IF($B$38="M",IF(AA178&lt;&gt;"",AA178,""),Y178)))</f>
        <v>1</v>
      </c>
      <c r="T178" s="608" t="str">
        <f>IF(Účetní_závěrka!D12&lt;&gt;"",Účetní_závěrka!D12,"")</f>
        <v/>
      </c>
      <c r="U178" s="608" t="str">
        <f>IF(Účetní_závěrka!E12&lt;&gt;"",ABS(Účetní_závěrka!E12),"")</f>
        <v/>
      </c>
      <c r="V178" s="608" t="str">
        <f>IF(Účetní_závěrka!F12&lt;&gt;"",Účetní_závěrka!F12,"")</f>
        <v/>
      </c>
      <c r="W178" s="608" t="str">
        <f>IF(Účetní_závěrka!G12&lt;&gt;"",Účetní_závěrka!G12,"")</f>
        <v/>
      </c>
      <c r="Y178" s="605">
        <v>1</v>
      </c>
      <c r="Z178" s="605">
        <v>1</v>
      </c>
      <c r="AA178" s="605">
        <v>1</v>
      </c>
      <c r="AB178" s="605">
        <f t="shared" ref="AB178:AB209" si="2">$AB$176</f>
        <v>1</v>
      </c>
      <c r="AC178" s="605">
        <f t="shared" ref="AC178:AC209" si="3">IF($B$38="P",AG178,IF(AH178&lt;&gt;"",AH178,""))</f>
        <v>1</v>
      </c>
      <c r="AD178" s="608" t="str">
        <f>IF(Účetní_závěrka!E96&lt;&gt;"",Účetní_závěrka!E96,"")</f>
        <v/>
      </c>
      <c r="AE178" s="608" t="str">
        <f>IF(Účetní_závěrka!D96&lt;&gt;"",Účetní_závěrka!D96,"")</f>
        <v/>
      </c>
      <c r="AG178" s="605">
        <v>1</v>
      </c>
      <c r="AH178" s="605">
        <v>1</v>
      </c>
      <c r="AI178" s="605">
        <v>1</v>
      </c>
      <c r="AP178" s="605">
        <v>1</v>
      </c>
      <c r="AQ178" s="605">
        <f t="shared" ref="AQ178:AQ209" si="4">$AP$178</f>
        <v>1</v>
      </c>
      <c r="AR178" s="605">
        <f t="shared" ref="AR178:AR241" si="5">IF($B$38="P",AV178,IF($B$38="Z",IF(AW178&lt;&gt;"",AW178,""),IF($B$38="M",IF(AX178&lt;&gt;"",AX178,""),AV178)))</f>
        <v>1</v>
      </c>
      <c r="AS178" s="608" t="str">
        <f>IF(Účetní_závěrka!L12&lt;&gt;"",Účetní_závěrka!L12,"")</f>
        <v/>
      </c>
      <c r="AT178" s="608" t="str">
        <f>IF(Účetní_závěrka!K12&lt;&gt;"",Účetní_závěrka!K12,"")</f>
        <v/>
      </c>
      <c r="AV178" s="605">
        <v>1</v>
      </c>
      <c r="AW178" s="605">
        <v>1</v>
      </c>
      <c r="AX178" s="605">
        <v>1</v>
      </c>
      <c r="AY178" s="605">
        <v>1</v>
      </c>
    </row>
    <row r="179" spans="17:55">
      <c r="R179" s="605">
        <f t="shared" si="1"/>
        <v>1</v>
      </c>
      <c r="S179" s="605">
        <f t="shared" ref="S179:S241" si="6">IF($B$38="P",Y179,IF($B$38="Z",IF(Z179&lt;&gt;"",Z179,""),IF($B$38="M",IF(AA179&lt;&gt;"",AA179,""),Y179)))</f>
        <v>2</v>
      </c>
      <c r="T179" s="608" t="str">
        <f>IF(Účetní_závěrka!D13&lt;&gt;"",Účetní_závěrka!D13,"")</f>
        <v/>
      </c>
      <c r="U179" s="608" t="str">
        <f>IF(Účetní_závěrka!E13&lt;&gt;"",ABS(Účetní_závěrka!E13),"")</f>
        <v/>
      </c>
      <c r="V179" s="608" t="str">
        <f>IF(Účetní_závěrka!F13&lt;&gt;"",Účetní_závěrka!F13,"")</f>
        <v/>
      </c>
      <c r="W179" s="608" t="str">
        <f>IF(Účetní_závěrka!G13&lt;&gt;"",Účetní_závěrka!G13,"")</f>
        <v/>
      </c>
      <c r="Y179" s="605">
        <v>2</v>
      </c>
      <c r="Z179" s="605">
        <v>2</v>
      </c>
      <c r="AA179" s="605">
        <v>2</v>
      </c>
      <c r="AB179" s="605">
        <f t="shared" si="2"/>
        <v>1</v>
      </c>
      <c r="AC179" s="605">
        <f t="shared" si="3"/>
        <v>2</v>
      </c>
      <c r="AD179" s="608" t="str">
        <f>IF(Účetní_závěrka!E97&lt;&gt;"",Účetní_závěrka!E97,"")</f>
        <v/>
      </c>
      <c r="AE179" s="608" t="str">
        <f>IF(Účetní_závěrka!D97&lt;&gt;"",Účetní_závěrka!D97,"")</f>
        <v/>
      </c>
      <c r="AG179" s="605">
        <v>2</v>
      </c>
      <c r="AH179" s="605">
        <v>2</v>
      </c>
      <c r="AQ179" s="605">
        <f t="shared" si="4"/>
        <v>1</v>
      </c>
      <c r="AR179" s="605">
        <f t="shared" si="5"/>
        <v>2</v>
      </c>
      <c r="AS179" s="608" t="str">
        <f>IF(Účetní_závěrka!L13&lt;&gt;"",Účetní_závěrka!L13,"")</f>
        <v/>
      </c>
      <c r="AT179" s="608" t="str">
        <f>IF(Účetní_závěrka!K13&lt;&gt;"",Účetní_závěrka!K13,"")</f>
        <v/>
      </c>
      <c r="AV179" s="605">
        <v>2</v>
      </c>
      <c r="AW179" s="605">
        <v>2</v>
      </c>
      <c r="AX179" s="605">
        <v>2</v>
      </c>
    </row>
    <row r="180" spans="17:55">
      <c r="R180" s="605">
        <f t="shared" si="1"/>
        <v>1</v>
      </c>
      <c r="S180" s="605">
        <f t="shared" si="6"/>
        <v>3</v>
      </c>
      <c r="T180" s="608" t="str">
        <f>IF(Účetní_závěrka!D14&lt;&gt;"",Účetní_závěrka!D14,"")</f>
        <v/>
      </c>
      <c r="U180" s="608" t="str">
        <f>IF(Účetní_závěrka!E14&lt;&gt;"",ABS(Účetní_závěrka!E14),"")</f>
        <v/>
      </c>
      <c r="V180" s="608" t="str">
        <f>IF(Účetní_závěrka!F14&lt;&gt;"",Účetní_závěrka!F14,"")</f>
        <v/>
      </c>
      <c r="W180" s="608" t="str">
        <f>IF(Účetní_závěrka!G14&lt;&gt;"",Účetní_závěrka!G14,"")</f>
        <v/>
      </c>
      <c r="Y180" s="605">
        <v>3</v>
      </c>
      <c r="Z180" s="605">
        <v>3</v>
      </c>
      <c r="AA180" s="605">
        <v>3</v>
      </c>
      <c r="AB180" s="605">
        <f t="shared" si="2"/>
        <v>1</v>
      </c>
      <c r="AC180" s="605">
        <f t="shared" si="3"/>
        <v>3</v>
      </c>
      <c r="AD180" s="608" t="str">
        <f>IF(Účetní_závěrka!E98&lt;&gt;"",Účetní_závěrka!E98,"")</f>
        <v/>
      </c>
      <c r="AE180" s="608" t="str">
        <f>IF(Účetní_závěrka!D98&lt;&gt;"",Účetní_závěrka!D98,"")</f>
        <v/>
      </c>
      <c r="AG180" s="605">
        <v>3</v>
      </c>
      <c r="AH180" s="605">
        <v>3</v>
      </c>
      <c r="AQ180" s="605">
        <f t="shared" si="4"/>
        <v>1</v>
      </c>
      <c r="AR180" s="605">
        <f t="shared" si="5"/>
        <v>3</v>
      </c>
      <c r="AS180" s="608" t="str">
        <f>IF(Účetní_závěrka!L14&lt;&gt;"",Účetní_závěrka!L14,"")</f>
        <v/>
      </c>
      <c r="AT180" s="608" t="str">
        <f>IF(Účetní_závěrka!K14&lt;&gt;"",Účetní_závěrka!K14,"")</f>
        <v/>
      </c>
      <c r="AV180" s="605">
        <v>3</v>
      </c>
      <c r="AW180" s="605">
        <v>3</v>
      </c>
      <c r="AX180" s="605">
        <v>24</v>
      </c>
    </row>
    <row r="181" spans="17:55">
      <c r="R181" s="605">
        <f t="shared" si="1"/>
        <v>1</v>
      </c>
      <c r="S181" s="605">
        <f t="shared" si="6"/>
        <v>4</v>
      </c>
      <c r="T181" s="608" t="str">
        <f>IF(Účetní_závěrka!D15&lt;&gt;"",Účetní_závěrka!D15,"")</f>
        <v/>
      </c>
      <c r="U181" s="608" t="str">
        <f>IF(Účetní_závěrka!E15&lt;&gt;"",ABS(Účetní_závěrka!E15),"")</f>
        <v/>
      </c>
      <c r="V181" s="608" t="str">
        <f>IF(Účetní_závěrka!F15&lt;&gt;"",Účetní_závěrka!F15,"")</f>
        <v/>
      </c>
      <c r="W181" s="608" t="str">
        <f>IF(Účetní_závěrka!G15&lt;&gt;"",Účetní_závěrka!G15,"")</f>
        <v/>
      </c>
      <c r="Y181" s="605">
        <v>4</v>
      </c>
      <c r="Z181" s="605">
        <v>4</v>
      </c>
      <c r="AA181" s="605">
        <v>37</v>
      </c>
      <c r="AB181" s="605">
        <f t="shared" si="2"/>
        <v>1</v>
      </c>
      <c r="AC181" s="605">
        <f t="shared" si="3"/>
        <v>7</v>
      </c>
      <c r="AD181" s="608" t="str">
        <f>IF(Účetní_závěrka!E99&lt;&gt;"",Účetní_závěrka!E99,"")</f>
        <v/>
      </c>
      <c r="AE181" s="608" t="str">
        <f>IF(Účetní_závěrka!D99&lt;&gt;"",Účetní_závěrka!D99,"")</f>
        <v/>
      </c>
      <c r="AG181" s="605">
        <v>4</v>
      </c>
      <c r="AH181" s="605">
        <v>7</v>
      </c>
      <c r="AQ181" s="605">
        <f t="shared" si="4"/>
        <v>1</v>
      </c>
      <c r="AR181" s="605">
        <f t="shared" si="5"/>
        <v>4</v>
      </c>
      <c r="AS181" s="608" t="str">
        <f>IF(Účetní_závěrka!L15&lt;&gt;"",Účetní_závěrka!L15,"")</f>
        <v/>
      </c>
      <c r="AT181" s="608" t="str">
        <f>IF(Účetní_závěrka!K15&lt;&gt;"",Účetní_závěrka!K15,"")</f>
        <v/>
      </c>
      <c r="AV181" s="605">
        <v>4</v>
      </c>
      <c r="AW181" s="605">
        <v>7</v>
      </c>
      <c r="AX181" s="605">
        <v>25</v>
      </c>
    </row>
    <row r="182" spans="17:55">
      <c r="R182" s="605">
        <f t="shared" si="1"/>
        <v>1</v>
      </c>
      <c r="S182" s="605">
        <f t="shared" si="6"/>
        <v>5</v>
      </c>
      <c r="T182" s="608" t="str">
        <f>IF(Účetní_závěrka!D16&lt;&gt;"",Účetní_závěrka!D16,"")</f>
        <v/>
      </c>
      <c r="U182" s="608" t="str">
        <f>IF(Účetní_závěrka!E16&lt;&gt;"",ABS(Účetní_závěrka!E16),"")</f>
        <v/>
      </c>
      <c r="V182" s="608" t="str">
        <f>IF(Účetní_závěrka!F16&lt;&gt;"",Účetní_závěrka!F16,"")</f>
        <v/>
      </c>
      <c r="W182" s="608" t="str">
        <f>IF(Účetní_závěrka!G16&lt;&gt;"",Účetní_závěrka!G16,"")</f>
        <v/>
      </c>
      <c r="Y182" s="605">
        <v>5</v>
      </c>
      <c r="Z182" s="605">
        <v>14</v>
      </c>
      <c r="AA182" s="605">
        <v>74</v>
      </c>
      <c r="AB182" s="605">
        <f t="shared" si="2"/>
        <v>1</v>
      </c>
      <c r="AC182" s="605">
        <f t="shared" si="3"/>
        <v>8</v>
      </c>
      <c r="AD182" s="608" t="str">
        <f>IF(Účetní_závěrka!E100&lt;&gt;"",Účetní_závěrka!E100,"")</f>
        <v/>
      </c>
      <c r="AE182" s="608" t="str">
        <f>IF(Účetní_závěrka!D100&lt;&gt;"",Účetní_závěrka!D100,"")</f>
        <v/>
      </c>
      <c r="AG182" s="605">
        <v>5</v>
      </c>
      <c r="AH182" s="605">
        <v>8</v>
      </c>
      <c r="AQ182" s="605">
        <f t="shared" si="4"/>
        <v>1</v>
      </c>
      <c r="AR182" s="605">
        <f t="shared" si="5"/>
        <v>5</v>
      </c>
      <c r="AS182" s="608" t="str">
        <f>IF(Účetní_závěrka!L16&lt;&gt;"",Účetní_závěrka!L16,"")</f>
        <v/>
      </c>
      <c r="AT182" s="608" t="str">
        <f>IF(Účetní_závěrka!K16&lt;&gt;"",Účetní_závěrka!K16,"")</f>
        <v/>
      </c>
      <c r="AV182" s="605">
        <v>5</v>
      </c>
      <c r="AW182" s="605">
        <v>15</v>
      </c>
      <c r="AX182" s="605">
        <v>30</v>
      </c>
    </row>
    <row r="183" spans="17:55">
      <c r="R183" s="605">
        <f t="shared" si="1"/>
        <v>1</v>
      </c>
      <c r="S183" s="605">
        <f t="shared" si="6"/>
        <v>6</v>
      </c>
      <c r="T183" s="608" t="str">
        <f>IF(Účetní_závěrka!D17&lt;&gt;"",Účetní_závěrka!D17,"")</f>
        <v/>
      </c>
      <c r="U183" s="608" t="str">
        <f>IF(Účetní_závěrka!E17&lt;&gt;"",ABS(Účetní_závěrka!E17),"")</f>
        <v/>
      </c>
      <c r="V183" s="608" t="str">
        <f>IF(Účetní_závěrka!F17&lt;&gt;"",Účetní_závěrka!F17,"")</f>
        <v/>
      </c>
      <c r="W183" s="608" t="str">
        <f>IF(Účetní_závěrka!G17&lt;&gt;"",Účetní_závěrka!G17,"")</f>
        <v/>
      </c>
      <c r="Y183" s="605">
        <v>6</v>
      </c>
      <c r="Z183" s="605">
        <v>27</v>
      </c>
      <c r="AB183" s="605">
        <f t="shared" si="2"/>
        <v>1</v>
      </c>
      <c r="AC183" s="605">
        <f t="shared" si="3"/>
        <v>9</v>
      </c>
      <c r="AD183" s="608" t="str">
        <f>IF(Účetní_závěrka!E101&lt;&gt;"",Účetní_závěrka!E101,"")</f>
        <v/>
      </c>
      <c r="AE183" s="608" t="str">
        <f>IF(Účetní_závěrka!D101&lt;&gt;"",Účetní_závěrka!D101,"")</f>
        <v/>
      </c>
      <c r="AG183" s="605">
        <v>6</v>
      </c>
      <c r="AH183" s="605">
        <v>9</v>
      </c>
      <c r="AQ183" s="605">
        <f t="shared" si="4"/>
        <v>1</v>
      </c>
      <c r="AR183" s="605">
        <f t="shared" si="5"/>
        <v>6</v>
      </c>
      <c r="AS183" s="608" t="str">
        <f>IF(Účetní_závěrka!L17&lt;&gt;"",Účetní_závěrka!L17,"")</f>
        <v/>
      </c>
      <c r="AT183" s="608" t="str">
        <f>IF(Účetní_závěrka!K17&lt;&gt;"",Účetní_závěrka!K17,"")</f>
        <v/>
      </c>
      <c r="AV183" s="605">
        <v>6</v>
      </c>
      <c r="AW183" s="605">
        <v>18</v>
      </c>
      <c r="AX183" s="605">
        <v>64</v>
      </c>
    </row>
    <row r="184" spans="17:55">
      <c r="R184" s="605">
        <f t="shared" si="1"/>
        <v>1</v>
      </c>
      <c r="S184" s="605">
        <f t="shared" si="6"/>
        <v>7</v>
      </c>
      <c r="T184" s="608" t="str">
        <f>IF(Účetní_závěrka!D18&lt;&gt;"",Účetní_závěrka!D18,"")</f>
        <v/>
      </c>
      <c r="U184" s="608" t="str">
        <f>IF(Účetní_závěrka!E18&lt;&gt;"",ABS(Účetní_závěrka!E18),"")</f>
        <v/>
      </c>
      <c r="V184" s="608" t="str">
        <f>IF(Účetní_závěrka!F18&lt;&gt;"",Účetní_závěrka!F18,"")</f>
        <v/>
      </c>
      <c r="W184" s="608" t="str">
        <f>IF(Účetní_závěrka!G18&lt;&gt;"",Účetní_závěrka!G18,"")</f>
        <v/>
      </c>
      <c r="Y184" s="605">
        <v>7</v>
      </c>
      <c r="Z184" s="605">
        <v>37</v>
      </c>
      <c r="AB184" s="605">
        <f t="shared" si="2"/>
        <v>1</v>
      </c>
      <c r="AC184" s="605">
        <f t="shared" si="3"/>
        <v>14</v>
      </c>
      <c r="AD184" s="608" t="str">
        <f>IF(Účetní_závěrka!E102&lt;&gt;"",Účetní_závěrka!E102,"")</f>
        <v/>
      </c>
      <c r="AE184" s="608" t="str">
        <f>IF(Účetní_závěrka!D102&lt;&gt;"",Účetní_závěrka!D102,"")</f>
        <v/>
      </c>
      <c r="AG184" s="605">
        <v>7</v>
      </c>
      <c r="AH184" s="605">
        <v>14</v>
      </c>
      <c r="AQ184" s="605">
        <f t="shared" si="4"/>
        <v>1</v>
      </c>
      <c r="AR184" s="605">
        <f t="shared" si="5"/>
        <v>7</v>
      </c>
      <c r="AS184" s="608" t="str">
        <f>IF(Účetní_závěrka!L18&lt;&gt;"",Účetní_závěrka!L18,"")</f>
        <v/>
      </c>
      <c r="AT184" s="608" t="str">
        <f>IF(Účetní_závěrka!K18&lt;&gt;"",Účetní_závěrka!K18,"")</f>
        <v/>
      </c>
      <c r="AV184" s="605">
        <v>7</v>
      </c>
      <c r="AW184" s="605">
        <v>22</v>
      </c>
    </row>
    <row r="185" spans="17:55">
      <c r="R185" s="605">
        <f t="shared" si="1"/>
        <v>1</v>
      </c>
      <c r="S185" s="605">
        <f t="shared" si="6"/>
        <v>8</v>
      </c>
      <c r="T185" s="608" t="str">
        <f>IF(Účetní_závěrka!D19&lt;&gt;"",Účetní_závěrka!D19,"")</f>
        <v/>
      </c>
      <c r="U185" s="608" t="str">
        <f>IF(Účetní_závěrka!E19&lt;&gt;"",ABS(Účetní_závěrka!E19),"")</f>
        <v/>
      </c>
      <c r="V185" s="608" t="str">
        <f>IF(Účetní_závěrka!F19&lt;&gt;"",Účetní_závěrka!F19,"")</f>
        <v/>
      </c>
      <c r="W185" s="608" t="str">
        <f>IF(Účetní_závěrka!G19&lt;&gt;"",Účetní_závěrka!G19,"")</f>
        <v/>
      </c>
      <c r="Y185" s="605">
        <v>8</v>
      </c>
      <c r="Z185" s="605">
        <v>38</v>
      </c>
      <c r="AB185" s="605">
        <f t="shared" si="2"/>
        <v>1</v>
      </c>
      <c r="AC185" s="605">
        <f t="shared" si="3"/>
        <v>20</v>
      </c>
      <c r="AD185" s="608" t="str">
        <f>IF(Účetní_závěrka!E103&lt;&gt;"",Účetní_závěrka!E103,"")</f>
        <v/>
      </c>
      <c r="AE185" s="608" t="str">
        <f>IF(Účetní_závěrka!D103&lt;&gt;"",Účetní_závěrka!D103,"")</f>
        <v/>
      </c>
      <c r="AG185" s="605">
        <v>8</v>
      </c>
      <c r="AH185" s="605">
        <v>20</v>
      </c>
      <c r="AQ185" s="605">
        <f t="shared" si="4"/>
        <v>1</v>
      </c>
      <c r="AR185" s="605">
        <f t="shared" si="5"/>
        <v>8</v>
      </c>
      <c r="AS185" s="608" t="str">
        <f>IF(Účetní_závěrka!L19&lt;&gt;"",Účetní_závěrka!L19,"")</f>
        <v/>
      </c>
      <c r="AT185" s="608" t="str">
        <f>IF(Účetní_závěrka!K19&lt;&gt;"",Účetní_závěrka!K19,"")</f>
        <v/>
      </c>
      <c r="AV185" s="605">
        <v>8</v>
      </c>
      <c r="AW185" s="605">
        <v>23</v>
      </c>
    </row>
    <row r="186" spans="17:55">
      <c r="R186" s="605">
        <f t="shared" si="1"/>
        <v>1</v>
      </c>
      <c r="S186" s="605">
        <f t="shared" si="6"/>
        <v>9</v>
      </c>
      <c r="T186" s="608" t="str">
        <f>IF(Účetní_závěrka!D20&lt;&gt;"",Účetní_závěrka!D20,"")</f>
        <v/>
      </c>
      <c r="U186" s="608" t="str">
        <f>IF(Účetní_závěrka!E20&lt;&gt;"",ABS(Účetní_závěrka!E20),"")</f>
        <v/>
      </c>
      <c r="V186" s="608" t="str">
        <f>IF(Účetní_závěrka!F20&lt;&gt;"",Účetní_závěrka!F20,"")</f>
        <v/>
      </c>
      <c r="W186" s="608" t="str">
        <f>IF(Účetní_závěrka!G20&lt;&gt;"",Účetní_závěrka!G20,"")</f>
        <v/>
      </c>
      <c r="Y186" s="605">
        <v>9</v>
      </c>
      <c r="Z186" s="605">
        <v>46</v>
      </c>
      <c r="AB186" s="605">
        <f t="shared" si="2"/>
        <v>1</v>
      </c>
      <c r="AC186" s="605">
        <f t="shared" si="3"/>
        <v>24</v>
      </c>
      <c r="AD186" s="608" t="str">
        <f>IF(Účetní_závěrka!E104&lt;&gt;"",Účetní_závěrka!E104,"")</f>
        <v/>
      </c>
      <c r="AE186" s="608" t="str">
        <f>IF(Účetní_závěrka!D104&lt;&gt;"",Účetní_závěrka!D104,"")</f>
        <v/>
      </c>
      <c r="AG186" s="605">
        <v>9</v>
      </c>
      <c r="AH186" s="605">
        <v>24</v>
      </c>
      <c r="AQ186" s="605">
        <f t="shared" si="4"/>
        <v>1</v>
      </c>
      <c r="AR186" s="605">
        <f t="shared" si="5"/>
        <v>9</v>
      </c>
      <c r="AS186" s="608" t="str">
        <f>IF(Účetní_závěrka!L20&lt;&gt;"",Účetní_závěrka!L20,"")</f>
        <v/>
      </c>
      <c r="AT186" s="608" t="str">
        <f>IF(Účetní_závěrka!K20&lt;&gt;"",Účetní_závěrka!K20,"")</f>
        <v/>
      </c>
      <c r="AV186" s="605">
        <v>9</v>
      </c>
      <c r="AW186" s="605">
        <v>24</v>
      </c>
    </row>
    <row r="187" spans="17:55">
      <c r="R187" s="605">
        <f t="shared" si="1"/>
        <v>1</v>
      </c>
      <c r="S187" s="605">
        <f t="shared" si="6"/>
        <v>10</v>
      </c>
      <c r="T187" s="608" t="str">
        <f>IF(Účetní_závěrka!D21&lt;&gt;"",Účetní_závěrka!D21,"")</f>
        <v/>
      </c>
      <c r="U187" s="608" t="str">
        <f>IF(Účetní_závěrka!E21&lt;&gt;"",ABS(Účetní_závěrka!E21),"")</f>
        <v/>
      </c>
      <c r="V187" s="608" t="str">
        <f>IF(Účetní_závěrka!F21&lt;&gt;"",Účetní_závěrka!F21,"")</f>
        <v/>
      </c>
      <c r="W187" s="608" t="str">
        <f>IF(Účetní_závěrka!G21&lt;&gt;"",Účetní_závěrka!G21,"")</f>
        <v/>
      </c>
      <c r="Y187" s="605">
        <v>10</v>
      </c>
      <c r="Z187" s="605">
        <v>47</v>
      </c>
      <c r="AB187" s="605">
        <f t="shared" si="2"/>
        <v>1</v>
      </c>
      <c r="AC187" s="605">
        <f t="shared" si="3"/>
        <v>30</v>
      </c>
      <c r="AD187" s="608" t="str">
        <f>IF(Účetní_závěrka!E105&lt;&gt;"",Účetní_závěrka!E105,"")</f>
        <v/>
      </c>
      <c r="AE187" s="608" t="str">
        <f>IF(Účetní_závěrka!D105&lt;&gt;"",Účetní_závěrka!D105,"")</f>
        <v/>
      </c>
      <c r="AG187" s="605">
        <v>10</v>
      </c>
      <c r="AH187" s="605">
        <v>30</v>
      </c>
      <c r="AQ187" s="605">
        <f t="shared" si="4"/>
        <v>1</v>
      </c>
      <c r="AR187" s="605">
        <f t="shared" si="5"/>
        <v>10</v>
      </c>
      <c r="AS187" s="608" t="str">
        <f>IF(Účetní_závěrka!L21&lt;&gt;"",Účetní_závěrka!L21,"")</f>
        <v/>
      </c>
      <c r="AT187" s="608" t="str">
        <f>IF(Účetní_závěrka!K21&lt;&gt;"",Účetní_závěrka!K21,"")</f>
        <v/>
      </c>
      <c r="AV187" s="605">
        <v>10</v>
      </c>
      <c r="AW187" s="605">
        <v>25</v>
      </c>
    </row>
    <row r="188" spans="17:55">
      <c r="R188" s="605">
        <f t="shared" si="1"/>
        <v>1</v>
      </c>
      <c r="S188" s="605">
        <f t="shared" si="6"/>
        <v>11</v>
      </c>
      <c r="T188" s="608" t="str">
        <f>IF(Účetní_závěrka!D22&lt;&gt;"",Účetní_závěrka!D22,"")</f>
        <v/>
      </c>
      <c r="U188" s="608" t="str">
        <f>IF(Účetní_závěrka!E22&lt;&gt;"",ABS(Účetní_závěrka!E22),"")</f>
        <v/>
      </c>
      <c r="V188" s="608" t="str">
        <f>IF(Účetní_závěrka!F22&lt;&gt;"",Účetní_závěrka!F22,"")</f>
        <v/>
      </c>
      <c r="W188" s="608" t="str">
        <f>IF(Účetní_závěrka!G22&lt;&gt;"",Účetní_závěrka!G22,"")</f>
        <v/>
      </c>
      <c r="Y188" s="605">
        <v>11</v>
      </c>
      <c r="Z188" s="605">
        <v>57</v>
      </c>
      <c r="AB188" s="605">
        <f t="shared" si="2"/>
        <v>1</v>
      </c>
      <c r="AC188" s="605">
        <f t="shared" si="3"/>
        <v>31</v>
      </c>
      <c r="AD188" s="608" t="str">
        <f>IF(Účetní_závěrka!E106&lt;&gt;"",Účetní_závěrka!E106,"")</f>
        <v/>
      </c>
      <c r="AE188" s="608" t="str">
        <f>IF(Účetní_závěrka!D106&lt;&gt;"",Účetní_závěrka!D106,"")</f>
        <v/>
      </c>
      <c r="AG188" s="605">
        <v>11</v>
      </c>
      <c r="AH188" s="605">
        <v>31</v>
      </c>
      <c r="AQ188" s="605">
        <f t="shared" si="4"/>
        <v>1</v>
      </c>
      <c r="AR188" s="605">
        <f t="shared" si="5"/>
        <v>11</v>
      </c>
      <c r="AS188" s="608" t="str">
        <f>IF(Účetní_závěrka!L22&lt;&gt;"",Účetní_závěrka!L22,"")</f>
        <v/>
      </c>
      <c r="AT188" s="608" t="str">
        <f>IF(Účetní_závěrka!K22&lt;&gt;"",Účetní_závěrka!K22,"")</f>
        <v/>
      </c>
      <c r="AV188" s="605">
        <v>11</v>
      </c>
      <c r="AW188" s="605">
        <v>30</v>
      </c>
    </row>
    <row r="189" spans="17:55">
      <c r="R189" s="605">
        <f t="shared" si="1"/>
        <v>1</v>
      </c>
      <c r="S189" s="605">
        <f t="shared" si="6"/>
        <v>12</v>
      </c>
      <c r="T189" s="608" t="str">
        <f>IF(Účetní_závěrka!D23&lt;&gt;"",Účetní_závěrka!D23,"")</f>
        <v/>
      </c>
      <c r="U189" s="608" t="str">
        <f>IF(Účetní_závěrka!E23&lt;&gt;"",ABS(Účetní_závěrka!E23),"")</f>
        <v/>
      </c>
      <c r="V189" s="608" t="str">
        <f>IF(Účetní_závěrka!F23&lt;&gt;"",Účetní_závěrka!F23,"")</f>
        <v/>
      </c>
      <c r="W189" s="608" t="str">
        <f>IF(Účetní_závěrka!G23&lt;&gt;"",Účetní_závěrka!G23,"")</f>
        <v/>
      </c>
      <c r="Y189" s="605">
        <v>12</v>
      </c>
      <c r="Z189" s="605">
        <v>78</v>
      </c>
      <c r="AB189" s="605">
        <f t="shared" si="2"/>
        <v>1</v>
      </c>
      <c r="AC189" s="605">
        <f t="shared" si="3"/>
        <v>34</v>
      </c>
      <c r="AD189" s="608" t="str">
        <f>IF(Účetní_závěrka!E107&lt;&gt;"",Účetní_závěrka!E107,"")</f>
        <v/>
      </c>
      <c r="AE189" s="608" t="str">
        <f>IF(Účetní_závěrka!D107&lt;&gt;"",Účetní_závěrka!D107,"")</f>
        <v/>
      </c>
      <c r="AG189" s="605">
        <v>12</v>
      </c>
      <c r="AH189" s="605">
        <v>34</v>
      </c>
      <c r="AQ189" s="605">
        <f t="shared" si="4"/>
        <v>1</v>
      </c>
      <c r="AR189" s="605">
        <f t="shared" si="5"/>
        <v>12</v>
      </c>
      <c r="AS189" s="608" t="str">
        <f>IF(Účetní_závěrka!L23&lt;&gt;"",Účetní_závěrka!L23,"")</f>
        <v/>
      </c>
      <c r="AT189" s="608" t="str">
        <f>IF(Účetní_závěrka!K23&lt;&gt;"",Účetní_závěrka!K23,"")</f>
        <v/>
      </c>
      <c r="AV189" s="605">
        <v>12</v>
      </c>
      <c r="AW189" s="605">
        <v>31</v>
      </c>
    </row>
    <row r="190" spans="17:55">
      <c r="R190" s="605">
        <f t="shared" si="1"/>
        <v>1</v>
      </c>
      <c r="S190" s="605">
        <f t="shared" si="6"/>
        <v>13</v>
      </c>
      <c r="T190" s="608" t="str">
        <f>IF(Účetní_závěrka!D24&lt;&gt;"",Účetní_závěrka!D24,"")</f>
        <v/>
      </c>
      <c r="U190" s="608" t="str">
        <f>IF(Účetní_závěrka!E24&lt;&gt;"",ABS(Účetní_závěrka!E24),"")</f>
        <v/>
      </c>
      <c r="V190" s="608" t="str">
        <f>IF(Účetní_závěrka!F24&lt;&gt;"",Účetní_závěrka!F24,"")</f>
        <v/>
      </c>
      <c r="W190" s="608" t="str">
        <f>IF(Účetní_závěrka!G24&lt;&gt;"",Účetní_závěrka!G24,"")</f>
        <v/>
      </c>
      <c r="Y190" s="605">
        <v>13</v>
      </c>
      <c r="Z190" s="605">
        <v>68</v>
      </c>
      <c r="AB190" s="605">
        <f t="shared" si="2"/>
        <v>1</v>
      </c>
      <c r="AC190" s="605">
        <f t="shared" si="3"/>
        <v>35</v>
      </c>
      <c r="AD190" s="608" t="str">
        <f>IF(Účetní_závěrka!E108&lt;&gt;"",Účetní_závěrka!E108,"")</f>
        <v/>
      </c>
      <c r="AE190" s="608" t="str">
        <f>IF(Účetní_závěrka!D108&lt;&gt;"",Účetní_závěrka!D108,"")</f>
        <v/>
      </c>
      <c r="AG190" s="605">
        <v>13</v>
      </c>
      <c r="AH190" s="605">
        <v>35</v>
      </c>
      <c r="AQ190" s="605">
        <f t="shared" si="4"/>
        <v>1</v>
      </c>
      <c r="AR190" s="605">
        <f t="shared" si="5"/>
        <v>13</v>
      </c>
      <c r="AS190" s="608" t="str">
        <f>IF(Účetní_závěrka!L24&lt;&gt;"",Účetní_závěrka!L24,"")</f>
        <v/>
      </c>
      <c r="AT190" s="608" t="str">
        <f>IF(Účetní_závěrka!K24&lt;&gt;"",Účetní_závěrka!K24,"")</f>
        <v/>
      </c>
      <c r="AV190" s="605">
        <v>13</v>
      </c>
      <c r="AW190" s="605">
        <v>46</v>
      </c>
    </row>
    <row r="191" spans="17:55">
      <c r="R191" s="605">
        <f t="shared" si="1"/>
        <v>1</v>
      </c>
      <c r="S191" s="605">
        <f t="shared" si="6"/>
        <v>14</v>
      </c>
      <c r="T191" s="608" t="str">
        <f>IF(Účetní_závěrka!D25&lt;&gt;"",Účetní_závěrka!D25,"")</f>
        <v/>
      </c>
      <c r="U191" s="608" t="str">
        <f>IF(Účetní_závěrka!E25&lt;&gt;"",ABS(Účetní_závěrka!E25),"")</f>
        <v/>
      </c>
      <c r="V191" s="608" t="str">
        <f>IF(Účetní_závěrka!F25&lt;&gt;"",Účetní_závěrka!F25,"")</f>
        <v/>
      </c>
      <c r="W191" s="608" t="str">
        <f>IF(Účetní_závěrka!G25&lt;&gt;"",Účetní_závěrka!G25,"")</f>
        <v/>
      </c>
      <c r="Y191" s="605">
        <v>14</v>
      </c>
      <c r="Z191" s="605">
        <v>71</v>
      </c>
      <c r="AB191" s="605">
        <f t="shared" si="2"/>
        <v>1</v>
      </c>
      <c r="AC191" s="605">
        <f t="shared" si="3"/>
        <v>38</v>
      </c>
      <c r="AD191" s="608" t="str">
        <f>IF(Účetní_závěrka!E109&lt;&gt;"",Účetní_závěrka!E109,"")</f>
        <v/>
      </c>
      <c r="AE191" s="608" t="str">
        <f>IF(Účetní_závěrka!D109&lt;&gt;"",Účetní_závěrka!D109,"")</f>
        <v/>
      </c>
      <c r="AG191" s="605">
        <v>14</v>
      </c>
      <c r="AH191" s="605">
        <v>38</v>
      </c>
      <c r="AQ191" s="605">
        <f t="shared" si="4"/>
        <v>1</v>
      </c>
      <c r="AR191" s="605">
        <f t="shared" si="5"/>
        <v>14</v>
      </c>
      <c r="AS191" s="608" t="str">
        <f>IF(Účetní_závěrka!L25&lt;&gt;"",Účetní_závěrka!L25,"")</f>
        <v/>
      </c>
      <c r="AT191" s="608" t="str">
        <f>IF(Účetní_závěrka!K25&lt;&gt;"",Účetní_závěrka!K25,"")</f>
        <v/>
      </c>
      <c r="AV191" s="605">
        <v>14</v>
      </c>
      <c r="AW191" s="605">
        <v>67</v>
      </c>
    </row>
    <row r="192" spans="17:55">
      <c r="R192" s="605">
        <f t="shared" si="1"/>
        <v>1</v>
      </c>
      <c r="S192" s="605">
        <f t="shared" si="6"/>
        <v>15</v>
      </c>
      <c r="T192" s="608" t="str">
        <f>IF(Účetní_závěrka!D26&lt;&gt;"",Účetní_závěrka!D26,"")</f>
        <v/>
      </c>
      <c r="U192" s="608" t="str">
        <f>IF(Účetní_závěrka!E26&lt;&gt;"",ABS(Účetní_závěrka!E26),"")</f>
        <v/>
      </c>
      <c r="V192" s="608" t="str">
        <f>IF(Účetní_závěrka!F26&lt;&gt;"",Účetní_závěrka!F26,"")</f>
        <v/>
      </c>
      <c r="W192" s="608" t="str">
        <f>IF(Účetní_závěrka!G26&lt;&gt;"",Účetní_závěrka!G26,"")</f>
        <v/>
      </c>
      <c r="Y192" s="605">
        <v>15</v>
      </c>
      <c r="Z192" s="605">
        <v>74</v>
      </c>
      <c r="AB192" s="605">
        <f t="shared" si="2"/>
        <v>1</v>
      </c>
      <c r="AC192" s="605">
        <f t="shared" si="3"/>
        <v>39</v>
      </c>
      <c r="AD192" s="608" t="str">
        <f>IF(Účetní_závěrka!E110&lt;&gt;"",Účetní_závěrka!E110,"")</f>
        <v/>
      </c>
      <c r="AE192" s="608" t="str">
        <f>IF(Účetní_závěrka!D110&lt;&gt;"",Účetní_závěrka!D110,"")</f>
        <v/>
      </c>
      <c r="AG192" s="605">
        <v>15</v>
      </c>
      <c r="AH192" s="605">
        <v>39</v>
      </c>
      <c r="AQ192" s="605">
        <f t="shared" si="4"/>
        <v>1</v>
      </c>
      <c r="AR192" s="605">
        <f t="shared" si="5"/>
        <v>15</v>
      </c>
      <c r="AS192" s="608" t="str">
        <f>IF(Účetní_závěrka!L26&lt;&gt;"",Účetní_závěrka!L26,"")</f>
        <v/>
      </c>
      <c r="AT192" s="608" t="str">
        <f>IF(Účetní_závěrka!K26&lt;&gt;"",Účetní_závěrka!K26,"")</f>
        <v/>
      </c>
      <c r="AV192" s="605">
        <v>15</v>
      </c>
      <c r="AW192" s="605">
        <v>64</v>
      </c>
    </row>
    <row r="193" spans="18:49">
      <c r="R193" s="605">
        <f t="shared" si="1"/>
        <v>1</v>
      </c>
      <c r="S193" s="605">
        <f t="shared" si="6"/>
        <v>16</v>
      </c>
      <c r="T193" s="608" t="str">
        <f>IF(Účetní_závěrka!D27&lt;&gt;"",Účetní_závěrka!D27,"")</f>
        <v/>
      </c>
      <c r="U193" s="608" t="str">
        <f>IF(Účetní_závěrka!E27&lt;&gt;"",ABS(Účetní_závěrka!E27),"")</f>
        <v/>
      </c>
      <c r="V193" s="608" t="str">
        <f>IF(Účetní_závěrka!F27&lt;&gt;"",Účetní_závěrka!F27,"")</f>
        <v/>
      </c>
      <c r="W193" s="608" t="str">
        <f>IF(Účetní_závěrka!G27&lt;&gt;"",Účetní_závěrka!G27,"")</f>
        <v/>
      </c>
      <c r="Y193" s="605">
        <v>16</v>
      </c>
      <c r="AB193" s="605">
        <f t="shared" si="2"/>
        <v>1</v>
      </c>
      <c r="AC193" s="605">
        <f t="shared" si="3"/>
        <v>42</v>
      </c>
      <c r="AD193" s="608" t="str">
        <f>IF(Účetní_závěrka!E111&lt;&gt;"",Účetní_závěrka!E111,"")</f>
        <v/>
      </c>
      <c r="AE193" s="608" t="str">
        <f>IF(Účetní_závěrka!D111&lt;&gt;"",Účetní_závěrka!D111,"")</f>
        <v/>
      </c>
      <c r="AG193" s="605">
        <v>16</v>
      </c>
      <c r="AH193" s="605">
        <v>42</v>
      </c>
      <c r="AQ193" s="605">
        <f t="shared" si="4"/>
        <v>1</v>
      </c>
      <c r="AR193" s="605">
        <f t="shared" si="5"/>
        <v>16</v>
      </c>
      <c r="AS193" s="608" t="str">
        <f>IF(Účetní_závěrka!L27&lt;&gt;"",Účetní_závěrka!L27,"")</f>
        <v/>
      </c>
      <c r="AT193" s="608" t="str">
        <f>IF(Účetní_závěrka!K27&lt;&gt;"",Účetní_závěrka!K27,"")</f>
        <v/>
      </c>
      <c r="AV193" s="605">
        <v>16</v>
      </c>
      <c r="AW193" s="609"/>
    </row>
    <row r="194" spans="18:49">
      <c r="R194" s="605">
        <f t="shared" si="1"/>
        <v>1</v>
      </c>
      <c r="S194" s="605">
        <f t="shared" si="6"/>
        <v>17</v>
      </c>
      <c r="T194" s="608" t="str">
        <f>IF(Účetní_závěrka!D28&lt;&gt;"",Účetní_závěrka!D28,"")</f>
        <v/>
      </c>
      <c r="U194" s="608" t="str">
        <f>IF(Účetní_závěrka!E28&lt;&gt;"",ABS(Účetní_závěrka!E28),"")</f>
        <v/>
      </c>
      <c r="V194" s="608" t="str">
        <f>IF(Účetní_závěrka!F28&lt;&gt;"",Účetní_závěrka!F28,"")</f>
        <v/>
      </c>
      <c r="W194" s="608" t="str">
        <f>IF(Účetní_závěrka!G28&lt;&gt;"",Účetní_závěrka!G28,"")</f>
        <v/>
      </c>
      <c r="Y194" s="605">
        <v>17</v>
      </c>
      <c r="AB194" s="605">
        <f t="shared" si="2"/>
        <v>1</v>
      </c>
      <c r="AC194" s="605">
        <f t="shared" si="3"/>
        <v>43</v>
      </c>
      <c r="AD194" s="608" t="str">
        <f>IF(Účetní_závěrka!E112&lt;&gt;"",Účetní_závěrka!E112,"")</f>
        <v/>
      </c>
      <c r="AE194" s="608" t="str">
        <f>IF(Účetní_závěrka!D112&lt;&gt;"",Účetní_závěrka!D112,"")</f>
        <v/>
      </c>
      <c r="AG194" s="605">
        <v>17</v>
      </c>
      <c r="AH194" s="605">
        <v>43</v>
      </c>
      <c r="AQ194" s="605">
        <f t="shared" si="4"/>
        <v>1</v>
      </c>
      <c r="AR194" s="605">
        <f t="shared" si="5"/>
        <v>17</v>
      </c>
      <c r="AS194" s="608" t="str">
        <f>IF(Účetní_závěrka!L28&lt;&gt;"",Účetní_závěrka!L28,"")</f>
        <v/>
      </c>
      <c r="AT194" s="608" t="str">
        <f>IF(Účetní_závěrka!K28&lt;&gt;"",Účetní_závěrka!K28,"")</f>
        <v/>
      </c>
      <c r="AV194" s="605">
        <v>17</v>
      </c>
      <c r="AW194" s="609"/>
    </row>
    <row r="195" spans="18:49">
      <c r="R195" s="605">
        <f t="shared" si="1"/>
        <v>1</v>
      </c>
      <c r="S195" s="605">
        <f t="shared" si="6"/>
        <v>18</v>
      </c>
      <c r="T195" s="608" t="str">
        <f>IF(Účetní_závěrka!D29&lt;&gt;"",Účetní_závěrka!D29,"")</f>
        <v/>
      </c>
      <c r="U195" s="608" t="str">
        <f>IF(Účetní_závěrka!E29&lt;&gt;"",ABS(Účetní_závěrka!E29),"")</f>
        <v/>
      </c>
      <c r="V195" s="608" t="str">
        <f>IF(Účetní_závěrka!F29&lt;&gt;"",Účetní_závěrka!F29,"")</f>
        <v/>
      </c>
      <c r="W195" s="608" t="str">
        <f>IF(Účetní_závěrka!G29&lt;&gt;"",Účetní_závěrka!G29,"")</f>
        <v/>
      </c>
      <c r="Y195" s="605">
        <v>18</v>
      </c>
      <c r="AB195" s="605">
        <f t="shared" si="2"/>
        <v>1</v>
      </c>
      <c r="AC195" s="605">
        <f t="shared" si="3"/>
        <v>46</v>
      </c>
      <c r="AD195" s="608" t="str">
        <f>IF(Účetní_závěrka!E113&lt;&gt;"",Účetní_závěrka!E113,"")</f>
        <v/>
      </c>
      <c r="AE195" s="608" t="str">
        <f>IF(Účetní_závěrka!D113&lt;&gt;"",Účetní_závěrka!D113,"")</f>
        <v/>
      </c>
      <c r="AG195" s="605">
        <v>18</v>
      </c>
      <c r="AH195" s="605">
        <v>46</v>
      </c>
      <c r="AQ195" s="605">
        <f t="shared" si="4"/>
        <v>1</v>
      </c>
      <c r="AR195" s="605">
        <f t="shared" si="5"/>
        <v>18</v>
      </c>
      <c r="AS195" s="608" t="str">
        <f>IF(Účetní_závěrka!L29&lt;&gt;"",Účetní_závěrka!L29,"")</f>
        <v/>
      </c>
      <c r="AT195" s="608" t="str">
        <f>IF(Účetní_závěrka!K29&lt;&gt;"",Účetní_závěrka!K29,"")</f>
        <v/>
      </c>
      <c r="AV195" s="605">
        <v>18</v>
      </c>
      <c r="AW195" s="609"/>
    </row>
    <row r="196" spans="18:49">
      <c r="R196" s="605">
        <f t="shared" si="1"/>
        <v>1</v>
      </c>
      <c r="S196" s="605">
        <f t="shared" si="6"/>
        <v>19</v>
      </c>
      <c r="T196" s="608" t="str">
        <f>IF(Účetní_závěrka!D30&lt;&gt;"",Účetní_závěrka!D30,"")</f>
        <v/>
      </c>
      <c r="U196" s="608" t="str">
        <f>IF(Účetní_závěrka!E30&lt;&gt;"",ABS(Účetní_závěrka!E30),"")</f>
        <v/>
      </c>
      <c r="V196" s="608" t="str">
        <f>IF(Účetní_závěrka!F30&lt;&gt;"",Účetní_závěrka!F30,"")</f>
        <v/>
      </c>
      <c r="W196" s="608" t="str">
        <f>IF(Účetní_závěrka!G30&lt;&gt;"",Účetní_závěrka!G30,"")</f>
        <v/>
      </c>
      <c r="Y196" s="605">
        <v>19</v>
      </c>
      <c r="AB196" s="605">
        <f t="shared" si="2"/>
        <v>1</v>
      </c>
      <c r="AC196" s="605">
        <f t="shared" si="3"/>
        <v>47</v>
      </c>
      <c r="AD196" s="608" t="str">
        <f>IF(Účetní_závěrka!E114&lt;&gt;"",Účetní_závěrka!E114,"")</f>
        <v/>
      </c>
      <c r="AE196" s="608" t="str">
        <f>IF(Účetní_závěrka!D114&lt;&gt;"",Účetní_závěrka!D114,"")</f>
        <v/>
      </c>
      <c r="AG196" s="605">
        <v>19</v>
      </c>
      <c r="AH196" s="605">
        <v>47</v>
      </c>
      <c r="AQ196" s="605">
        <f t="shared" si="4"/>
        <v>1</v>
      </c>
      <c r="AR196" s="605">
        <f t="shared" si="5"/>
        <v>19</v>
      </c>
      <c r="AS196" s="608" t="str">
        <f>IF(Účetní_závěrka!L30&lt;&gt;"",Účetní_závěrka!L30,"")</f>
        <v/>
      </c>
      <c r="AT196" s="608" t="str">
        <f>IF(Účetní_závěrka!K30&lt;&gt;"",Účetní_závěrka!K30,"")</f>
        <v/>
      </c>
      <c r="AV196" s="605">
        <v>19</v>
      </c>
      <c r="AW196" s="609"/>
    </row>
    <row r="197" spans="18:49">
      <c r="R197" s="605">
        <f t="shared" si="1"/>
        <v>1</v>
      </c>
      <c r="S197" s="605">
        <f t="shared" si="6"/>
        <v>20</v>
      </c>
      <c r="T197" s="608" t="str">
        <f>IF(Účetní_závěrka!D31&lt;&gt;"",Účetní_závěrka!D31,"")</f>
        <v/>
      </c>
      <c r="U197" s="608" t="str">
        <f>IF(Účetní_závěrka!E31&lt;&gt;"",ABS(Účetní_závěrka!E31),"")</f>
        <v/>
      </c>
      <c r="V197" s="608" t="str">
        <f>IF(Účetní_závěrka!F31&lt;&gt;"",Účetní_závěrka!F31,"")</f>
        <v/>
      </c>
      <c r="W197" s="608" t="str">
        <f>IF(Účetní_závěrka!G31&lt;&gt;"",Účetní_závěrka!G31,"")</f>
        <v/>
      </c>
      <c r="Y197" s="605">
        <v>20</v>
      </c>
      <c r="AB197" s="605">
        <f t="shared" si="2"/>
        <v>1</v>
      </c>
      <c r="AC197" s="605">
        <f t="shared" si="3"/>
        <v>48</v>
      </c>
      <c r="AD197" s="608" t="str">
        <f>IF(Účetní_závěrka!E115&lt;&gt;"",Účetní_závěrka!E115,"")</f>
        <v/>
      </c>
      <c r="AE197" s="608" t="str">
        <f>IF(Účetní_závěrka!D115&lt;&gt;"",Účetní_závěrka!D115,"")</f>
        <v/>
      </c>
      <c r="AG197" s="605">
        <v>20</v>
      </c>
      <c r="AH197" s="605">
        <v>48</v>
      </c>
      <c r="AQ197" s="605">
        <f t="shared" si="4"/>
        <v>1</v>
      </c>
      <c r="AR197" s="605">
        <f t="shared" si="5"/>
        <v>21</v>
      </c>
      <c r="AS197" s="608" t="str">
        <f>IF(Účetní_závěrka!L31&lt;&gt;"",Účetní_závěrka!L31,"")</f>
        <v/>
      </c>
      <c r="AT197" s="608" t="str">
        <f>IF(Účetní_závěrka!K31&lt;&gt;"",Účetní_závěrka!K31,"")</f>
        <v/>
      </c>
      <c r="AV197" s="605">
        <v>21</v>
      </c>
      <c r="AW197" s="609"/>
    </row>
    <row r="198" spans="18:49">
      <c r="R198" s="605">
        <f t="shared" si="1"/>
        <v>1</v>
      </c>
      <c r="S198" s="605">
        <f t="shared" si="6"/>
        <v>21</v>
      </c>
      <c r="T198" s="608" t="str">
        <f>IF(Účetní_závěrka!D32&lt;&gt;"",Účetní_závěrka!D32,"")</f>
        <v/>
      </c>
      <c r="U198" s="608" t="str">
        <f>IF(Účetní_závěrka!E32&lt;&gt;"",ABS(Účetní_závěrka!E32),"")</f>
        <v/>
      </c>
      <c r="V198" s="608" t="str">
        <f>IF(Účetní_závěrka!F32&lt;&gt;"",Účetní_závěrka!F32,"")</f>
        <v/>
      </c>
      <c r="W198" s="608" t="str">
        <f>IF(Účetní_závěrka!G32&lt;&gt;"",Účetní_závěrka!G32,"")</f>
        <v/>
      </c>
      <c r="Y198" s="605">
        <v>21</v>
      </c>
      <c r="AB198" s="605">
        <f t="shared" si="2"/>
        <v>1</v>
      </c>
      <c r="AC198" s="605">
        <f t="shared" si="3"/>
        <v>49</v>
      </c>
      <c r="AD198" s="608" t="str">
        <f>IF(Účetní_závěrka!E116&lt;&gt;"",Účetní_závěrka!E116,"")</f>
        <v/>
      </c>
      <c r="AE198" s="608" t="str">
        <f>IF(Účetní_závěrka!D116&lt;&gt;"",Účetní_závěrka!D116,"")</f>
        <v/>
      </c>
      <c r="AG198" s="605">
        <v>21</v>
      </c>
      <c r="AH198" s="605">
        <v>49</v>
      </c>
      <c r="AQ198" s="605">
        <f t="shared" si="4"/>
        <v>1</v>
      </c>
      <c r="AR198" s="605">
        <f t="shared" si="5"/>
        <v>22</v>
      </c>
      <c r="AS198" s="608" t="str">
        <f>IF(Účetní_závěrka!L32&lt;&gt;"",Účetní_závěrka!L32,"")</f>
        <v/>
      </c>
      <c r="AT198" s="608" t="str">
        <f>IF(Účetní_závěrka!K32&lt;&gt;"",Účetní_závěrka!K32,"")</f>
        <v/>
      </c>
      <c r="AV198" s="605">
        <v>22</v>
      </c>
      <c r="AW198" s="609"/>
    </row>
    <row r="199" spans="18:49">
      <c r="R199" s="605">
        <f t="shared" si="1"/>
        <v>1</v>
      </c>
      <c r="S199" s="605">
        <f t="shared" si="6"/>
        <v>22</v>
      </c>
      <c r="T199" s="608" t="str">
        <f>IF(Účetní_závěrka!D33&lt;&gt;"",Účetní_závěrka!D33,"")</f>
        <v/>
      </c>
      <c r="U199" s="608" t="str">
        <f>IF(Účetní_závěrka!E33&lt;&gt;"",ABS(Účetní_závěrka!E33),"")</f>
        <v/>
      </c>
      <c r="V199" s="608" t="str">
        <f>IF(Účetní_závěrka!F33&lt;&gt;"",Účetní_závěrka!F33,"")</f>
        <v/>
      </c>
      <c r="W199" s="608" t="str">
        <f>IF(Účetní_závěrka!G33&lt;&gt;"",Účetní_závěrka!G33,"")</f>
        <v/>
      </c>
      <c r="Y199" s="605">
        <v>22</v>
      </c>
      <c r="AB199" s="605">
        <f t="shared" si="2"/>
        <v>1</v>
      </c>
      <c r="AC199" s="605">
        <f t="shared" si="3"/>
        <v>50</v>
      </c>
      <c r="AD199" s="608" t="str">
        <f>IF(Účetní_závěrka!E117&lt;&gt;"",Účetní_závěrka!E117,"")</f>
        <v/>
      </c>
      <c r="AE199" s="608" t="str">
        <f>IF(Účetní_závěrka!D117&lt;&gt;"",Účetní_závěrka!D117,"")</f>
        <v/>
      </c>
      <c r="AG199" s="605">
        <v>22</v>
      </c>
      <c r="AH199" s="605">
        <v>50</v>
      </c>
      <c r="AQ199" s="605">
        <f t="shared" si="4"/>
        <v>1</v>
      </c>
      <c r="AR199" s="605">
        <f t="shared" si="5"/>
        <v>23</v>
      </c>
      <c r="AS199" s="608" t="str">
        <f>IF(Účetní_závěrka!L33&lt;&gt;"",Účetní_závěrka!L33,"")</f>
        <v/>
      </c>
      <c r="AT199" s="608" t="str">
        <f>IF(Účetní_závěrka!K33&lt;&gt;"",Účetní_závěrka!K33,"")</f>
        <v/>
      </c>
      <c r="AV199" s="605">
        <v>23</v>
      </c>
      <c r="AW199" s="609"/>
    </row>
    <row r="200" spans="18:49">
      <c r="R200" s="605">
        <f t="shared" si="1"/>
        <v>1</v>
      </c>
      <c r="S200" s="605">
        <f t="shared" si="6"/>
        <v>23</v>
      </c>
      <c r="T200" s="608" t="str">
        <f>IF(Účetní_závěrka!D34&lt;&gt;"",Účetní_závěrka!D34,"")</f>
        <v/>
      </c>
      <c r="U200" s="608" t="str">
        <f>IF(Účetní_závěrka!E34&lt;&gt;"",ABS(Účetní_závěrka!E34),"")</f>
        <v/>
      </c>
      <c r="V200" s="608" t="str">
        <f>IF(Účetní_závěrka!F34&lt;&gt;"",Účetní_závěrka!F34,"")</f>
        <v/>
      </c>
      <c r="W200" s="608" t="str">
        <f>IF(Účetní_závěrka!G34&lt;&gt;"",Účetní_závěrka!G34,"")</f>
        <v/>
      </c>
      <c r="Y200" s="605">
        <v>23</v>
      </c>
      <c r="AB200" s="605">
        <f t="shared" si="2"/>
        <v>1</v>
      </c>
      <c r="AC200" s="605">
        <f t="shared" si="3"/>
        <v>53</v>
      </c>
      <c r="AD200" s="608" t="str">
        <f>IF(Účetní_závěrka!E118&lt;&gt;"",Účetní_závěrka!E118,"")</f>
        <v/>
      </c>
      <c r="AE200" s="608" t="str">
        <f>IF(Účetní_závěrka!D118&lt;&gt;"",Účetní_závěrka!D118,"")</f>
        <v/>
      </c>
      <c r="AG200" s="605">
        <v>23</v>
      </c>
      <c r="AH200" s="605">
        <v>53</v>
      </c>
      <c r="AQ200" s="605">
        <f t="shared" si="4"/>
        <v>1</v>
      </c>
      <c r="AR200" s="605">
        <f t="shared" si="5"/>
        <v>24</v>
      </c>
      <c r="AS200" s="608" t="str">
        <f>IF(Účetní_závěrka!L34&lt;&gt;"",Účetní_závěrka!L34,"")</f>
        <v/>
      </c>
      <c r="AT200" s="608" t="str">
        <f>IF(Účetní_závěrka!K34&lt;&gt;"",Účetní_závěrka!K34,"")</f>
        <v/>
      </c>
      <c r="AV200" s="605">
        <v>24</v>
      </c>
      <c r="AW200" s="609"/>
    </row>
    <row r="201" spans="18:49">
      <c r="R201" s="605">
        <f t="shared" si="1"/>
        <v>1</v>
      </c>
      <c r="S201" s="605">
        <f t="shared" si="6"/>
        <v>24</v>
      </c>
      <c r="T201" s="608" t="str">
        <f>IF(Účetní_závěrka!D35&lt;&gt;"",Účetní_závěrka!D35,"")</f>
        <v/>
      </c>
      <c r="U201" s="608" t="str">
        <f>IF(Účetní_závěrka!E35&lt;&gt;"",ABS(Účetní_závěrka!E35),"")</f>
        <v/>
      </c>
      <c r="V201" s="608" t="str">
        <f>IF(Účetní_závěrka!F35&lt;&gt;"",Účetní_závěrka!F35,"")</f>
        <v/>
      </c>
      <c r="W201" s="608" t="str">
        <f>IF(Účetní_závěrka!G35&lt;&gt;"",Účetní_závěrka!G35,"")</f>
        <v/>
      </c>
      <c r="Y201" s="605">
        <v>24</v>
      </c>
      <c r="AB201" s="605">
        <f t="shared" si="2"/>
        <v>1</v>
      </c>
      <c r="AC201" s="605">
        <f t="shared" si="3"/>
        <v>54</v>
      </c>
      <c r="AD201" s="608" t="str">
        <f>IF(Účetní_závěrka!E119&lt;&gt;"",Účetní_závěrka!E119,"")</f>
        <v/>
      </c>
      <c r="AE201" s="608" t="str">
        <f>IF(Účetní_závěrka!D119&lt;&gt;"",Účetní_závěrka!D119,"")</f>
        <v/>
      </c>
      <c r="AG201" s="605">
        <v>24</v>
      </c>
      <c r="AH201" s="605">
        <v>54</v>
      </c>
      <c r="AQ201" s="605">
        <f t="shared" si="4"/>
        <v>1</v>
      </c>
      <c r="AR201" s="605">
        <f t="shared" si="5"/>
        <v>25</v>
      </c>
      <c r="AS201" s="608" t="str">
        <f>IF(Účetní_závěrka!L35&lt;&gt;"",Účetní_závěrka!L35,"")</f>
        <v/>
      </c>
      <c r="AT201" s="608" t="str">
        <f>IF(Účetní_závěrka!K35&lt;&gt;"",Účetní_závěrka!K35,"")</f>
        <v/>
      </c>
      <c r="AV201" s="605">
        <v>25</v>
      </c>
      <c r="AW201" s="609"/>
    </row>
    <row r="202" spans="18:49">
      <c r="R202" s="605">
        <f t="shared" si="1"/>
        <v>1</v>
      </c>
      <c r="S202" s="605">
        <f t="shared" si="6"/>
        <v>25</v>
      </c>
      <c r="T202" s="608" t="str">
        <f>IF(Účetní_závěrka!D36&lt;&gt;"",Účetní_závěrka!D36,"")</f>
        <v/>
      </c>
      <c r="U202" s="608" t="str">
        <f>IF(Účetní_závěrka!E36&lt;&gt;"",ABS(Účetní_závěrka!E36),"")</f>
        <v/>
      </c>
      <c r="V202" s="608" t="str">
        <f>IF(Účetní_závěrka!F36&lt;&gt;"",Účetní_závěrka!F36,"")</f>
        <v/>
      </c>
      <c r="W202" s="608" t="str">
        <f>IF(Účetní_závěrka!G36&lt;&gt;"",Účetní_závěrka!G36,"")</f>
        <v/>
      </c>
      <c r="Y202" s="605">
        <v>25</v>
      </c>
      <c r="AB202" s="605">
        <f t="shared" si="2"/>
        <v>1</v>
      </c>
      <c r="AC202" s="605">
        <f t="shared" si="3"/>
        <v>55</v>
      </c>
      <c r="AD202" s="608" t="str">
        <f>IF(Účetní_závěrka!E120&lt;&gt;"",Účetní_závěrka!E120,"")</f>
        <v/>
      </c>
      <c r="AE202" s="608" t="str">
        <f>IF(Účetní_závěrka!D120&lt;&gt;"",Účetní_závěrka!D120,"")</f>
        <v/>
      </c>
      <c r="AG202" s="605">
        <v>25</v>
      </c>
      <c r="AH202" s="605">
        <v>55</v>
      </c>
      <c r="AQ202" s="605">
        <f t="shared" si="4"/>
        <v>1</v>
      </c>
      <c r="AR202" s="605">
        <f t="shared" si="5"/>
        <v>26</v>
      </c>
      <c r="AS202" s="608" t="str">
        <f>IF(Účetní_závěrka!L36&lt;&gt;"",Účetní_závěrka!L36,"")</f>
        <v/>
      </c>
      <c r="AT202" s="608" t="str">
        <f>IF(Účetní_závěrka!K36&lt;&gt;"",Účetní_závěrka!K36,"")</f>
        <v/>
      </c>
      <c r="AV202" s="605">
        <v>26</v>
      </c>
      <c r="AW202" s="609"/>
    </row>
    <row r="203" spans="18:49">
      <c r="R203" s="605">
        <f t="shared" si="1"/>
        <v>1</v>
      </c>
      <c r="S203" s="605">
        <f t="shared" si="6"/>
        <v>26</v>
      </c>
      <c r="T203" s="608" t="str">
        <f>IF(Účetní_závěrka!D37&lt;&gt;"",Účetní_závěrka!D37,"")</f>
        <v/>
      </c>
      <c r="U203" s="608" t="str">
        <f>IF(Účetní_závěrka!E37&lt;&gt;"",ABS(Účetní_závěrka!E37),"")</f>
        <v/>
      </c>
      <c r="V203" s="608" t="str">
        <f>IF(Účetní_závěrka!F37&lt;&gt;"",Účetní_závěrka!F37,"")</f>
        <v/>
      </c>
      <c r="W203" s="608" t="str">
        <f>IF(Účetní_závěrka!G37&lt;&gt;"",Účetní_závěrka!G37,"")</f>
        <v/>
      </c>
      <c r="Y203" s="605">
        <v>26</v>
      </c>
      <c r="AB203" s="605">
        <f t="shared" si="2"/>
        <v>1</v>
      </c>
      <c r="AC203" s="605">
        <f t="shared" si="3"/>
        <v>56</v>
      </c>
      <c r="AD203" s="608" t="str">
        <f>IF(Účetní_závěrka!E121&lt;&gt;"",Účetní_závěrka!E121,"")</f>
        <v/>
      </c>
      <c r="AE203" s="608" t="str">
        <f>IF(Účetní_závěrka!D121&lt;&gt;"",Účetní_závěrka!D121,"")</f>
        <v/>
      </c>
      <c r="AG203" s="605">
        <v>26</v>
      </c>
      <c r="AH203" s="605">
        <v>56</v>
      </c>
      <c r="AQ203" s="605">
        <f t="shared" si="4"/>
        <v>1</v>
      </c>
      <c r="AR203" s="605">
        <f t="shared" si="5"/>
        <v>27</v>
      </c>
      <c r="AS203" s="608" t="str">
        <f>IF(Účetní_závěrka!L37&lt;&gt;"",Účetní_závěrka!L37,"")</f>
        <v/>
      </c>
      <c r="AT203" s="608" t="str">
        <f>IF(Účetní_závěrka!K37&lt;&gt;"",Účetní_závěrka!K37,"")</f>
        <v/>
      </c>
      <c r="AV203" s="605">
        <v>27</v>
      </c>
      <c r="AW203" s="609"/>
    </row>
    <row r="204" spans="18:49">
      <c r="R204" s="605">
        <f t="shared" si="1"/>
        <v>1</v>
      </c>
      <c r="S204" s="605">
        <f t="shared" si="6"/>
        <v>27</v>
      </c>
      <c r="T204" s="608" t="str">
        <f>IF(Účetní_závěrka!D38&lt;&gt;"",Účetní_závěrka!D38,"")</f>
        <v/>
      </c>
      <c r="U204" s="608" t="str">
        <f>IF(Účetní_závěrka!E38&lt;&gt;"",ABS(Účetní_závěrka!E38),"")</f>
        <v/>
      </c>
      <c r="V204" s="608" t="str">
        <f>IF(Účetní_závěrka!F38&lt;&gt;"",Účetní_závěrka!F38,"")</f>
        <v/>
      </c>
      <c r="W204" s="608" t="str">
        <f>IF(Účetní_závěrka!G38&lt;&gt;"",Účetní_závěrka!G38,"")</f>
        <v/>
      </c>
      <c r="Y204" s="605">
        <v>27</v>
      </c>
      <c r="AB204" s="605">
        <f t="shared" si="2"/>
        <v>1</v>
      </c>
      <c r="AC204" s="605" t="str">
        <f t="shared" si="3"/>
        <v/>
      </c>
      <c r="AD204" s="608" t="str">
        <f>IF(Účetní_závěrka!E122&lt;&gt;"",Účetní_závěrka!E122,"")</f>
        <v/>
      </c>
      <c r="AE204" s="608" t="str">
        <f>IF(Účetní_závěrka!D122&lt;&gt;"",Účetní_závěrka!D122,"")</f>
        <v/>
      </c>
      <c r="AG204" s="605">
        <v>27</v>
      </c>
      <c r="AQ204" s="605">
        <f t="shared" si="4"/>
        <v>1</v>
      </c>
      <c r="AR204" s="605">
        <f t="shared" si="5"/>
        <v>28</v>
      </c>
      <c r="AS204" s="608" t="str">
        <f>IF(Účetní_závěrka!L38&lt;&gt;"",Účetní_závěrka!L38,"")</f>
        <v/>
      </c>
      <c r="AT204" s="608" t="str">
        <f>IF(Účetní_závěrka!K38&lt;&gt;"",Účetní_závěrka!K38,"")</f>
        <v/>
      </c>
      <c r="AV204" s="605">
        <v>28</v>
      </c>
      <c r="AW204" s="609"/>
    </row>
    <row r="205" spans="18:49">
      <c r="R205" s="605">
        <f t="shared" si="1"/>
        <v>1</v>
      </c>
      <c r="S205" s="605">
        <f t="shared" si="6"/>
        <v>28</v>
      </c>
      <c r="T205" s="608" t="str">
        <f>IF(Účetní_závěrka!D39&lt;&gt;"",Účetní_závěrka!D39,"")</f>
        <v/>
      </c>
      <c r="U205" s="608" t="str">
        <f>IF(Účetní_závěrka!E39&lt;&gt;"",ABS(Účetní_závěrka!E39),"")</f>
        <v/>
      </c>
      <c r="V205" s="608" t="str">
        <f>IF(Účetní_závěrka!F39&lt;&gt;"",Účetní_závěrka!F39,"")</f>
        <v/>
      </c>
      <c r="W205" s="608" t="str">
        <f>IF(Účetní_závěrka!G39&lt;&gt;"",Účetní_závěrka!G39,"")</f>
        <v/>
      </c>
      <c r="Y205" s="605">
        <v>28</v>
      </c>
      <c r="AB205" s="605">
        <f t="shared" si="2"/>
        <v>1</v>
      </c>
      <c r="AC205" s="605" t="str">
        <f t="shared" si="3"/>
        <v/>
      </c>
      <c r="AD205" s="608" t="str">
        <f>IF(Účetní_závěrka!E123&lt;&gt;"",Účetní_závěrka!E123,"")</f>
        <v/>
      </c>
      <c r="AE205" s="608" t="str">
        <f>IF(Účetní_závěrka!D123&lt;&gt;"",Účetní_závěrka!D123,"")</f>
        <v/>
      </c>
      <c r="AG205" s="605">
        <v>28</v>
      </c>
      <c r="AQ205" s="605">
        <f t="shared" si="4"/>
        <v>1</v>
      </c>
      <c r="AR205" s="605">
        <f t="shared" si="5"/>
        <v>29</v>
      </c>
      <c r="AS205" s="608" t="str">
        <f>IF(Účetní_závěrka!L39&lt;&gt;"",Účetní_závěrka!L39,"")</f>
        <v/>
      </c>
      <c r="AT205" s="608" t="str">
        <f>IF(Účetní_závěrka!K39&lt;&gt;"",Účetní_závěrka!K39,"")</f>
        <v/>
      </c>
      <c r="AV205" s="605">
        <v>29</v>
      </c>
      <c r="AW205" s="609"/>
    </row>
    <row r="206" spans="18:49">
      <c r="R206" s="605">
        <f t="shared" si="1"/>
        <v>1</v>
      </c>
      <c r="S206" s="605">
        <f t="shared" si="6"/>
        <v>29</v>
      </c>
      <c r="T206" s="608" t="str">
        <f>IF(Účetní_závěrka!D40&lt;&gt;"",Účetní_závěrka!D40,"")</f>
        <v/>
      </c>
      <c r="U206" s="608" t="str">
        <f>IF(Účetní_závěrka!E40&lt;&gt;"",ABS(Účetní_závěrka!E40),"")</f>
        <v/>
      </c>
      <c r="V206" s="608" t="str">
        <f>IF(Účetní_závěrka!F40&lt;&gt;"",Účetní_závěrka!F40,"")</f>
        <v/>
      </c>
      <c r="W206" s="608" t="str">
        <f>IF(Účetní_závěrka!G40&lt;&gt;"",Účetní_závěrka!G40,"")</f>
        <v/>
      </c>
      <c r="Y206" s="605">
        <v>29</v>
      </c>
      <c r="AB206" s="605">
        <f t="shared" si="2"/>
        <v>1</v>
      </c>
      <c r="AC206" s="605" t="str">
        <f t="shared" si="3"/>
        <v/>
      </c>
      <c r="AD206" s="608" t="str">
        <f>IF(Účetní_závěrka!E124&lt;&gt;"",Účetní_závěrka!E124,"")</f>
        <v/>
      </c>
      <c r="AE206" s="608" t="str">
        <f>IF(Účetní_závěrka!D124&lt;&gt;"",Účetní_závěrka!D124,"")</f>
        <v/>
      </c>
      <c r="AG206" s="605">
        <v>29</v>
      </c>
      <c r="AQ206" s="605">
        <f t="shared" si="4"/>
        <v>1</v>
      </c>
      <c r="AR206" s="605">
        <f t="shared" si="5"/>
        <v>30</v>
      </c>
      <c r="AS206" s="608" t="str">
        <f>IF(Účetní_závěrka!L40&lt;&gt;"",Účetní_závěrka!L40,"")</f>
        <v/>
      </c>
      <c r="AT206" s="608" t="str">
        <f>IF(Účetní_závěrka!K40&lt;&gt;"",Účetní_závěrka!K40,"")</f>
        <v/>
      </c>
      <c r="AV206" s="605">
        <v>30</v>
      </c>
      <c r="AW206" s="609"/>
    </row>
    <row r="207" spans="18:49">
      <c r="R207" s="605">
        <f t="shared" si="1"/>
        <v>1</v>
      </c>
      <c r="S207" s="605">
        <f t="shared" si="6"/>
        <v>30</v>
      </c>
      <c r="T207" s="608" t="str">
        <f>IF(Účetní_závěrka!D41&lt;&gt;"",Účetní_závěrka!D41,"")</f>
        <v/>
      </c>
      <c r="U207" s="608" t="str">
        <f>IF(Účetní_závěrka!E41&lt;&gt;"",ABS(Účetní_závěrka!E41),"")</f>
        <v/>
      </c>
      <c r="V207" s="608" t="str">
        <f>IF(Účetní_závěrka!F41&lt;&gt;"",Účetní_závěrka!F41,"")</f>
        <v/>
      </c>
      <c r="W207" s="608" t="str">
        <f>IF(Účetní_závěrka!G41&lt;&gt;"",Účetní_závěrka!G41,"")</f>
        <v/>
      </c>
      <c r="Y207" s="605">
        <v>30</v>
      </c>
      <c r="AB207" s="605">
        <f t="shared" si="2"/>
        <v>1</v>
      </c>
      <c r="AC207" s="605" t="str">
        <f t="shared" si="3"/>
        <v/>
      </c>
      <c r="AD207" s="608" t="str">
        <f>IF(Účetní_závěrka!E125&lt;&gt;"",Účetní_závěrka!E125,"")</f>
        <v/>
      </c>
      <c r="AE207" s="608" t="str">
        <f>IF(Účetní_závěrka!D125&lt;&gt;"",Účetní_závěrka!D125,"")</f>
        <v/>
      </c>
      <c r="AG207" s="605">
        <v>30</v>
      </c>
      <c r="AQ207" s="605">
        <f t="shared" si="4"/>
        <v>1</v>
      </c>
      <c r="AR207" s="605">
        <f t="shared" si="5"/>
        <v>31</v>
      </c>
      <c r="AS207" s="608" t="str">
        <f>IF(Účetní_závěrka!L41&lt;&gt;"",Účetní_závěrka!L41,"")</f>
        <v/>
      </c>
      <c r="AT207" s="608" t="str">
        <f>IF(Účetní_závěrka!K41&lt;&gt;"",Účetní_závěrka!K41,"")</f>
        <v/>
      </c>
      <c r="AV207" s="605">
        <v>31</v>
      </c>
      <c r="AW207" s="609"/>
    </row>
    <row r="208" spans="18:49">
      <c r="R208" s="605">
        <f t="shared" si="1"/>
        <v>1</v>
      </c>
      <c r="S208" s="605">
        <f t="shared" si="6"/>
        <v>31</v>
      </c>
      <c r="T208" s="608" t="str">
        <f>IF(Účetní_závěrka!D42&lt;&gt;"",Účetní_závěrka!D42,"")</f>
        <v/>
      </c>
      <c r="U208" s="608" t="str">
        <f>IF(Účetní_závěrka!E42&lt;&gt;"",ABS(Účetní_závěrka!E42),"")</f>
        <v/>
      </c>
      <c r="V208" s="608" t="str">
        <f>IF(Účetní_závěrka!F42&lt;&gt;"",Účetní_závěrka!F42,"")</f>
        <v/>
      </c>
      <c r="W208" s="608" t="str">
        <f>IF(Účetní_závěrka!G42&lt;&gt;"",Účetní_závěrka!G42,"")</f>
        <v/>
      </c>
      <c r="Y208" s="605">
        <v>31</v>
      </c>
      <c r="AB208" s="605">
        <f t="shared" si="2"/>
        <v>1</v>
      </c>
      <c r="AC208" s="605" t="str">
        <f t="shared" si="3"/>
        <v/>
      </c>
      <c r="AD208" s="608" t="str">
        <f>IF(Účetní_závěrka!E126&lt;&gt;"",Účetní_závěrka!E126,"")</f>
        <v/>
      </c>
      <c r="AE208" s="608" t="str">
        <f>IF(Účetní_závěrka!D126&lt;&gt;"",Účetní_závěrka!D126,"")</f>
        <v/>
      </c>
      <c r="AG208" s="605">
        <v>31</v>
      </c>
      <c r="AQ208" s="605">
        <f t="shared" si="4"/>
        <v>1</v>
      </c>
      <c r="AR208" s="605">
        <f t="shared" si="5"/>
        <v>32</v>
      </c>
      <c r="AS208" s="608" t="str">
        <f>IF(Účetní_závěrka!L42&lt;&gt;"",Účetní_závěrka!L42,"")</f>
        <v/>
      </c>
      <c r="AT208" s="608" t="str">
        <f>IF(Účetní_závěrka!K42&lt;&gt;"",Účetní_závěrka!K42,"")</f>
        <v/>
      </c>
      <c r="AV208" s="605">
        <v>32</v>
      </c>
      <c r="AW208" s="609"/>
    </row>
    <row r="209" spans="18:49">
      <c r="R209" s="605">
        <f t="shared" si="1"/>
        <v>1</v>
      </c>
      <c r="S209" s="605">
        <f t="shared" si="6"/>
        <v>32</v>
      </c>
      <c r="T209" s="608" t="str">
        <f>IF(Účetní_závěrka!D43&lt;&gt;"",Účetní_závěrka!D43,"")</f>
        <v/>
      </c>
      <c r="U209" s="608" t="str">
        <f>IF(Účetní_závěrka!E43&lt;&gt;"",ABS(Účetní_závěrka!E43),"")</f>
        <v/>
      </c>
      <c r="V209" s="608" t="str">
        <f>IF(Účetní_závěrka!F43&lt;&gt;"",Účetní_závěrka!F43,"")</f>
        <v/>
      </c>
      <c r="W209" s="608" t="str">
        <f>IF(Účetní_závěrka!G43&lt;&gt;"",Účetní_závěrka!G43,"")</f>
        <v/>
      </c>
      <c r="Y209" s="605">
        <v>32</v>
      </c>
      <c r="AB209" s="605">
        <f t="shared" si="2"/>
        <v>1</v>
      </c>
      <c r="AC209" s="605" t="str">
        <f t="shared" si="3"/>
        <v/>
      </c>
      <c r="AD209" s="608" t="str">
        <f>IF(Účetní_závěrka!E127&lt;&gt;"",Účetní_závěrka!E127,"")</f>
        <v/>
      </c>
      <c r="AE209" s="608" t="str">
        <f>IF(Účetní_závěrka!D127&lt;&gt;"",Účetní_závěrka!D127,"")</f>
        <v/>
      </c>
      <c r="AG209" s="605">
        <v>32</v>
      </c>
      <c r="AQ209" s="605">
        <f t="shared" si="4"/>
        <v>1</v>
      </c>
      <c r="AR209" s="605">
        <f t="shared" si="5"/>
        <v>33</v>
      </c>
      <c r="AS209" s="608" t="str">
        <f>IF(Účetní_závěrka!L43&lt;&gt;"",Účetní_závěrka!L43,"")</f>
        <v/>
      </c>
      <c r="AT209" s="608" t="str">
        <f>IF(Účetní_závěrka!K43&lt;&gt;"",Účetní_závěrka!K43,"")</f>
        <v/>
      </c>
      <c r="AV209" s="605">
        <v>33</v>
      </c>
      <c r="AW209" s="609"/>
    </row>
    <row r="210" spans="18:49">
      <c r="R210" s="605">
        <f t="shared" ref="R210:R243" si="7">$Q$178</f>
        <v>1</v>
      </c>
      <c r="S210" s="605">
        <f t="shared" si="6"/>
        <v>33</v>
      </c>
      <c r="T210" s="608" t="str">
        <f>IF(Účetní_závěrka!D44&lt;&gt;"",Účetní_závěrka!D44,"")</f>
        <v/>
      </c>
      <c r="U210" s="608" t="str">
        <f>IF(Účetní_závěrka!E44&lt;&gt;"",ABS(Účetní_závěrka!E44),"")</f>
        <v/>
      </c>
      <c r="V210" s="608" t="str">
        <f>IF(Účetní_závěrka!F44&lt;&gt;"",Účetní_závěrka!F44,"")</f>
        <v/>
      </c>
      <c r="W210" s="608" t="str">
        <f>IF(Účetní_závěrka!G44&lt;&gt;"",Účetní_závěrka!G44,"")</f>
        <v/>
      </c>
      <c r="Y210" s="605">
        <v>33</v>
      </c>
      <c r="AB210" s="605">
        <f t="shared" ref="AB210:AB233" si="8">$AB$176</f>
        <v>1</v>
      </c>
      <c r="AC210" s="605" t="str">
        <f t="shared" ref="AC210:AC233" si="9">IF($B$38="P",AG210,IF(AH210&lt;&gt;"",AH210,""))</f>
        <v/>
      </c>
      <c r="AD210" s="608" t="str">
        <f>IF(Účetní_závěrka!E128&lt;&gt;"",Účetní_závěrka!E128,"")</f>
        <v/>
      </c>
      <c r="AE210" s="608" t="str">
        <f>IF(Účetní_závěrka!D128&lt;&gt;"",Účetní_závěrka!D128,"")</f>
        <v/>
      </c>
      <c r="AG210" s="605">
        <v>33</v>
      </c>
      <c r="AQ210" s="605">
        <f t="shared" ref="AQ210:AQ235" si="10">$AP$178</f>
        <v>1</v>
      </c>
      <c r="AR210" s="605">
        <f t="shared" si="5"/>
        <v>34</v>
      </c>
      <c r="AS210" s="608" t="str">
        <f>IF(Účetní_závěrka!L44&lt;&gt;"",Účetní_závěrka!L44,"")</f>
        <v/>
      </c>
      <c r="AT210" s="608" t="str">
        <f>IF(Účetní_závěrka!K44&lt;&gt;"",Účetní_závěrka!K44,"")</f>
        <v/>
      </c>
      <c r="AV210" s="605">
        <v>34</v>
      </c>
      <c r="AW210" s="609"/>
    </row>
    <row r="211" spans="18:49">
      <c r="R211" s="605">
        <f t="shared" si="7"/>
        <v>1</v>
      </c>
      <c r="S211" s="605">
        <f t="shared" si="6"/>
        <v>34</v>
      </c>
      <c r="T211" s="608" t="str">
        <f>IF(Účetní_závěrka!D45&lt;&gt;"",Účetní_závěrka!D45,"")</f>
        <v/>
      </c>
      <c r="U211" s="608" t="str">
        <f>IF(Účetní_závěrka!E45&lt;&gt;"",ABS(Účetní_závěrka!E45),"")</f>
        <v/>
      </c>
      <c r="V211" s="608" t="str">
        <f>IF(Účetní_závěrka!F45&lt;&gt;"",Účetní_závěrka!F45,"")</f>
        <v/>
      </c>
      <c r="W211" s="608" t="str">
        <f>IF(Účetní_závěrka!G45&lt;&gt;"",Účetní_závěrka!G45,"")</f>
        <v/>
      </c>
      <c r="Y211" s="605">
        <v>34</v>
      </c>
      <c r="AB211" s="605">
        <f t="shared" si="8"/>
        <v>1</v>
      </c>
      <c r="AC211" s="605" t="str">
        <f t="shared" si="9"/>
        <v/>
      </c>
      <c r="AD211" s="608" t="str">
        <f>IF(Účetní_závěrka!E129&lt;&gt;"",Účetní_závěrka!E129,"")</f>
        <v/>
      </c>
      <c r="AE211" s="608" t="str">
        <f>IF(Účetní_závěrka!D129&lt;&gt;"",Účetní_závěrka!D129,"")</f>
        <v/>
      </c>
      <c r="AG211" s="605">
        <v>34</v>
      </c>
      <c r="AQ211" s="605">
        <f t="shared" si="10"/>
        <v>1</v>
      </c>
      <c r="AR211" s="605">
        <f t="shared" si="5"/>
        <v>35</v>
      </c>
      <c r="AS211" s="608" t="str">
        <f>IF(Účetní_závěrka!L45&lt;&gt;"",Účetní_závěrka!L45,"")</f>
        <v/>
      </c>
      <c r="AT211" s="608" t="str">
        <f>IF(Účetní_závěrka!K45&lt;&gt;"",Účetní_závěrka!K45,"")</f>
        <v/>
      </c>
      <c r="AV211" s="605">
        <v>35</v>
      </c>
      <c r="AW211" s="609"/>
    </row>
    <row r="212" spans="18:49">
      <c r="R212" s="605">
        <f t="shared" si="7"/>
        <v>1</v>
      </c>
      <c r="S212" s="605">
        <f t="shared" si="6"/>
        <v>35</v>
      </c>
      <c r="T212" s="608" t="str">
        <f>IF(Účetní_závěrka!D46&lt;&gt;"",Účetní_závěrka!D46,"")</f>
        <v/>
      </c>
      <c r="U212" s="608" t="str">
        <f>IF(Účetní_závěrka!E46&lt;&gt;"",ABS(Účetní_závěrka!E46),"")</f>
        <v/>
      </c>
      <c r="V212" s="608" t="str">
        <f>IF(Účetní_závěrka!F46&lt;&gt;"",Účetní_závěrka!F46,"")</f>
        <v/>
      </c>
      <c r="W212" s="608" t="str">
        <f>IF(Účetní_závěrka!G46&lt;&gt;"",Účetní_závěrka!G46,"")</f>
        <v/>
      </c>
      <c r="Y212" s="605">
        <v>35</v>
      </c>
      <c r="AB212" s="605">
        <f t="shared" si="8"/>
        <v>1</v>
      </c>
      <c r="AC212" s="605" t="str">
        <f t="shared" si="9"/>
        <v/>
      </c>
      <c r="AD212" s="608" t="str">
        <f>IF(Účetní_závěrka!E130&lt;&gt;"",Účetní_závěrka!E130,"")</f>
        <v/>
      </c>
      <c r="AE212" s="608" t="str">
        <f>IF(Účetní_závěrka!D130&lt;&gt;"",Účetní_závěrka!D130,"")</f>
        <v/>
      </c>
      <c r="AG212" s="605">
        <v>35</v>
      </c>
      <c r="AQ212" s="605">
        <f t="shared" si="10"/>
        <v>1</v>
      </c>
      <c r="AR212" s="605">
        <f t="shared" si="5"/>
        <v>36</v>
      </c>
      <c r="AS212" s="608" t="str">
        <f>IF(Účetní_závěrka!L46&lt;&gt;"",Účetní_závěrka!L46,"")</f>
        <v/>
      </c>
      <c r="AT212" s="608" t="str">
        <f>IF(Účetní_závěrka!K46&lt;&gt;"",Účetní_závěrka!K46,"")</f>
        <v/>
      </c>
      <c r="AV212" s="605">
        <v>36</v>
      </c>
      <c r="AW212" s="609"/>
    </row>
    <row r="213" spans="18:49">
      <c r="R213" s="605">
        <f t="shared" si="7"/>
        <v>1</v>
      </c>
      <c r="S213" s="605">
        <f t="shared" si="6"/>
        <v>36</v>
      </c>
      <c r="T213" s="608" t="str">
        <f>IF(Účetní_závěrka!D47&lt;&gt;"",Účetní_závěrka!D47,"")</f>
        <v/>
      </c>
      <c r="U213" s="608" t="str">
        <f>IF(Účetní_závěrka!E47&lt;&gt;"",ABS(Účetní_závěrka!E47),"")</f>
        <v/>
      </c>
      <c r="V213" s="608" t="str">
        <f>IF(Účetní_závěrka!F47&lt;&gt;"",Účetní_závěrka!F47,"")</f>
        <v/>
      </c>
      <c r="W213" s="608" t="str">
        <f>IF(Účetní_závěrka!G47&lt;&gt;"",Účetní_závěrka!G47,"")</f>
        <v/>
      </c>
      <c r="Y213" s="605">
        <v>36</v>
      </c>
      <c r="AB213" s="605">
        <f t="shared" si="8"/>
        <v>1</v>
      </c>
      <c r="AC213" s="605" t="str">
        <f t="shared" si="9"/>
        <v/>
      </c>
      <c r="AD213" s="608" t="str">
        <f>IF(Účetní_závěrka!E131&lt;&gt;"",Účetní_závěrka!E131,"")</f>
        <v/>
      </c>
      <c r="AE213" s="608" t="str">
        <f>IF(Účetní_závěrka!D131&lt;&gt;"",Účetní_závěrka!D131,"")</f>
        <v/>
      </c>
      <c r="AG213" s="605">
        <v>36</v>
      </c>
      <c r="AQ213" s="605">
        <f t="shared" si="10"/>
        <v>1</v>
      </c>
      <c r="AR213" s="605">
        <f t="shared" si="5"/>
        <v>37</v>
      </c>
      <c r="AS213" s="608" t="str">
        <f>IF(Účetní_závěrka!L47&lt;&gt;"",Účetní_závěrka!L47,"")</f>
        <v/>
      </c>
      <c r="AT213" s="608" t="str">
        <f>IF(Účetní_závěrka!K47&lt;&gt;"",Účetní_závěrka!K47,"")</f>
        <v/>
      </c>
      <c r="AV213" s="605">
        <v>37</v>
      </c>
      <c r="AW213" s="609"/>
    </row>
    <row r="214" spans="18:49">
      <c r="R214" s="605">
        <f t="shared" si="7"/>
        <v>1</v>
      </c>
      <c r="S214" s="605">
        <f t="shared" si="6"/>
        <v>37</v>
      </c>
      <c r="T214" s="608" t="str">
        <f>IF(Účetní_závěrka!D48&lt;&gt;"",Účetní_závěrka!D48,"")</f>
        <v/>
      </c>
      <c r="U214" s="608" t="str">
        <f>IF(Účetní_závěrka!E48&lt;&gt;"",ABS(Účetní_závěrka!E48),"")</f>
        <v/>
      </c>
      <c r="V214" s="608" t="str">
        <f>IF(Účetní_závěrka!F48&lt;&gt;"",Účetní_závěrka!F48,"")</f>
        <v/>
      </c>
      <c r="W214" s="608" t="str">
        <f>IF(Účetní_závěrka!G48&lt;&gt;"",Účetní_závěrka!G48,"")</f>
        <v/>
      </c>
      <c r="Y214" s="605">
        <v>37</v>
      </c>
      <c r="AB214" s="605">
        <f t="shared" si="8"/>
        <v>1</v>
      </c>
      <c r="AC214" s="605" t="str">
        <f t="shared" si="9"/>
        <v/>
      </c>
      <c r="AD214" s="608" t="str">
        <f>IF(Účetní_závěrka!E132&lt;&gt;"",Účetní_závěrka!E132,"")</f>
        <v/>
      </c>
      <c r="AE214" s="608" t="str">
        <f>IF(Účetní_závěrka!D132&lt;&gt;"",Účetní_závěrka!D132,"")</f>
        <v/>
      </c>
      <c r="AG214" s="605">
        <v>37</v>
      </c>
      <c r="AQ214" s="605">
        <f t="shared" si="10"/>
        <v>1</v>
      </c>
      <c r="AR214" s="605">
        <f t="shared" si="5"/>
        <v>38</v>
      </c>
      <c r="AS214" s="608" t="str">
        <f>IF(Účetní_závěrka!L48&lt;&gt;"",Účetní_závěrka!L48,"")</f>
        <v/>
      </c>
      <c r="AT214" s="608" t="str">
        <f>IF(Účetní_závěrka!K48&lt;&gt;"",Účetní_závěrka!K48,"")</f>
        <v/>
      </c>
      <c r="AV214" s="605">
        <v>38</v>
      </c>
      <c r="AW214" s="609"/>
    </row>
    <row r="215" spans="18:49">
      <c r="R215" s="605">
        <f t="shared" si="7"/>
        <v>1</v>
      </c>
      <c r="S215" s="605">
        <f t="shared" si="6"/>
        <v>38</v>
      </c>
      <c r="T215" s="608" t="str">
        <f>IF(Účetní_závěrka!D49&lt;&gt;"",Účetní_závěrka!D49,"")</f>
        <v/>
      </c>
      <c r="U215" s="608" t="str">
        <f>IF(Účetní_závěrka!E49&lt;&gt;"",ABS(Účetní_závěrka!E49),"")</f>
        <v/>
      </c>
      <c r="V215" s="608" t="str">
        <f>IF(Účetní_závěrka!F49&lt;&gt;"",Účetní_závěrka!F49,"")</f>
        <v/>
      </c>
      <c r="W215" s="608" t="str">
        <f>IF(Účetní_závěrka!G49&lt;&gt;"",Účetní_závěrka!G49,"")</f>
        <v/>
      </c>
      <c r="Y215" s="605">
        <v>38</v>
      </c>
      <c r="AB215" s="605">
        <f t="shared" si="8"/>
        <v>1</v>
      </c>
      <c r="AC215" s="605" t="str">
        <f t="shared" si="9"/>
        <v/>
      </c>
      <c r="AD215" s="608" t="str">
        <f>IF(Účetní_závěrka!E133&lt;&gt;"",Účetní_závěrka!E133,"")</f>
        <v/>
      </c>
      <c r="AE215" s="608" t="str">
        <f>IF(Účetní_závěrka!D133&lt;&gt;"",Účetní_závěrka!D133,"")</f>
        <v/>
      </c>
      <c r="AG215" s="605">
        <v>38</v>
      </c>
      <c r="AQ215" s="605">
        <f t="shared" si="10"/>
        <v>1</v>
      </c>
      <c r="AR215" s="605">
        <f t="shared" si="5"/>
        <v>39</v>
      </c>
      <c r="AS215" s="608" t="str">
        <f>IF(Účetní_závěrka!L49&lt;&gt;"",Účetní_závěrka!L49,"")</f>
        <v/>
      </c>
      <c r="AT215" s="608" t="str">
        <f>IF(Účetní_závěrka!K49&lt;&gt;"",Účetní_závěrka!K49,"")</f>
        <v/>
      </c>
      <c r="AV215" s="605">
        <v>39</v>
      </c>
      <c r="AW215" s="609"/>
    </row>
    <row r="216" spans="18:49">
      <c r="R216" s="605">
        <f t="shared" si="7"/>
        <v>1</v>
      </c>
      <c r="S216" s="605">
        <f t="shared" si="6"/>
        <v>39</v>
      </c>
      <c r="T216" s="608" t="str">
        <f>IF(Účetní_závěrka!D50&lt;&gt;"",Účetní_závěrka!D50,"")</f>
        <v/>
      </c>
      <c r="U216" s="608" t="str">
        <f>IF(Účetní_závěrka!E50&lt;&gt;"",ABS(Účetní_závěrka!E50),"")</f>
        <v/>
      </c>
      <c r="V216" s="608" t="str">
        <f>IF(Účetní_závěrka!F50&lt;&gt;"",Účetní_závěrka!F50,"")</f>
        <v/>
      </c>
      <c r="W216" s="608" t="str">
        <f>IF(Účetní_závěrka!G50&lt;&gt;"",Účetní_závěrka!G50,"")</f>
        <v/>
      </c>
      <c r="Y216" s="605">
        <v>39</v>
      </c>
      <c r="AB216" s="605">
        <f t="shared" si="8"/>
        <v>1</v>
      </c>
      <c r="AC216" s="605" t="str">
        <f t="shared" si="9"/>
        <v/>
      </c>
      <c r="AD216" s="608" t="str">
        <f>IF(Účetní_závěrka!E134&lt;&gt;"",Účetní_závěrka!E134,"")</f>
        <v/>
      </c>
      <c r="AE216" s="608" t="str">
        <f>IF(Účetní_závěrka!D134&lt;&gt;"",Účetní_závěrka!D134,"")</f>
        <v/>
      </c>
      <c r="AG216" s="605">
        <v>39</v>
      </c>
      <c r="AQ216" s="605">
        <f t="shared" si="10"/>
        <v>1</v>
      </c>
      <c r="AR216" s="605">
        <f t="shared" si="5"/>
        <v>40</v>
      </c>
      <c r="AS216" s="608" t="str">
        <f>IF(Účetní_závěrka!L50&lt;&gt;"",Účetní_závěrka!L50,"")</f>
        <v/>
      </c>
      <c r="AT216" s="608" t="str">
        <f>IF(Účetní_závěrka!K50&lt;&gt;"",Účetní_závěrka!K50,"")</f>
        <v/>
      </c>
      <c r="AV216" s="605">
        <v>40</v>
      </c>
      <c r="AW216" s="609"/>
    </row>
    <row r="217" spans="18:49">
      <c r="R217" s="605">
        <f t="shared" si="7"/>
        <v>1</v>
      </c>
      <c r="S217" s="605">
        <f t="shared" si="6"/>
        <v>40</v>
      </c>
      <c r="T217" s="608" t="str">
        <f>IF(Účetní_závěrka!D51&lt;&gt;"",Účetní_závěrka!D51,"")</f>
        <v/>
      </c>
      <c r="U217" s="608" t="str">
        <f>IF(Účetní_závěrka!E51&lt;&gt;"",ABS(Účetní_závěrka!E51),"")</f>
        <v/>
      </c>
      <c r="V217" s="608" t="str">
        <f>IF(Účetní_závěrka!F51&lt;&gt;"",Účetní_závěrka!F51,"")</f>
        <v/>
      </c>
      <c r="W217" s="608" t="str">
        <f>IF(Účetní_závěrka!G51&lt;&gt;"",Účetní_závěrka!G51,"")</f>
        <v/>
      </c>
      <c r="Y217" s="605">
        <v>40</v>
      </c>
      <c r="AB217" s="605">
        <f t="shared" si="8"/>
        <v>1</v>
      </c>
      <c r="AC217" s="605" t="str">
        <f t="shared" si="9"/>
        <v/>
      </c>
      <c r="AD217" s="608" t="str">
        <f>IF(Účetní_závěrka!E135&lt;&gt;"",Účetní_závěrka!E135,"")</f>
        <v/>
      </c>
      <c r="AE217" s="608" t="str">
        <f>IF(Účetní_závěrka!D135&lt;&gt;"",Účetní_závěrka!D135,"")</f>
        <v/>
      </c>
      <c r="AG217" s="605">
        <v>40</v>
      </c>
      <c r="AQ217" s="605">
        <f t="shared" si="10"/>
        <v>1</v>
      </c>
      <c r="AR217" s="605">
        <f t="shared" si="5"/>
        <v>41</v>
      </c>
      <c r="AS217" s="608" t="str">
        <f>IF(Účetní_závěrka!L51&lt;&gt;"",Účetní_závěrka!L51,"")</f>
        <v/>
      </c>
      <c r="AT217" s="608" t="str">
        <f>IF(Účetní_závěrka!K51&lt;&gt;"",Účetní_závěrka!K51,"")</f>
        <v/>
      </c>
      <c r="AV217" s="605">
        <v>41</v>
      </c>
      <c r="AW217" s="609"/>
    </row>
    <row r="218" spans="18:49">
      <c r="R218" s="605">
        <f t="shared" si="7"/>
        <v>1</v>
      </c>
      <c r="S218" s="605">
        <f t="shared" si="6"/>
        <v>41</v>
      </c>
      <c r="T218" s="608" t="str">
        <f>IF(Účetní_závěrka!D52&lt;&gt;"",Účetní_závěrka!D52,"")</f>
        <v/>
      </c>
      <c r="U218" s="608" t="str">
        <f>IF(Účetní_závěrka!E52&lt;&gt;"",ABS(Účetní_závěrka!E52),"")</f>
        <v/>
      </c>
      <c r="V218" s="608" t="str">
        <f>IF(Účetní_závěrka!F52&lt;&gt;"",Účetní_závěrka!F52,"")</f>
        <v/>
      </c>
      <c r="W218" s="608" t="str">
        <f>IF(Účetní_závěrka!G52&lt;&gt;"",Účetní_závěrka!G52,"")</f>
        <v/>
      </c>
      <c r="Y218" s="605">
        <v>41</v>
      </c>
      <c r="AB218" s="605">
        <f t="shared" si="8"/>
        <v>1</v>
      </c>
      <c r="AC218" s="605" t="str">
        <f t="shared" si="9"/>
        <v/>
      </c>
      <c r="AD218" s="608" t="str">
        <f>IF(Účetní_závěrka!E136&lt;&gt;"",Účetní_závěrka!E136,"")</f>
        <v/>
      </c>
      <c r="AE218" s="608" t="str">
        <f>IF(Účetní_závěrka!D136&lt;&gt;"",Účetní_závěrka!D136,"")</f>
        <v/>
      </c>
      <c r="AG218" s="605">
        <v>41</v>
      </c>
      <c r="AQ218" s="605">
        <f t="shared" si="10"/>
        <v>1</v>
      </c>
      <c r="AR218" s="605">
        <f t="shared" si="5"/>
        <v>42</v>
      </c>
      <c r="AS218" s="608" t="str">
        <f>IF(Účetní_závěrka!L52&lt;&gt;"",Účetní_závěrka!L52,"")</f>
        <v/>
      </c>
      <c r="AT218" s="608" t="str">
        <f>IF(Účetní_závěrka!K52&lt;&gt;"",Účetní_závěrka!K52,"")</f>
        <v/>
      </c>
      <c r="AV218" s="605">
        <v>42</v>
      </c>
      <c r="AW218" s="609"/>
    </row>
    <row r="219" spans="18:49">
      <c r="R219" s="605">
        <f t="shared" si="7"/>
        <v>1</v>
      </c>
      <c r="S219" s="605">
        <f t="shared" si="6"/>
        <v>42</v>
      </c>
      <c r="T219" s="608" t="str">
        <f>IF(Účetní_závěrka!D53&lt;&gt;"",Účetní_závěrka!D53,"")</f>
        <v/>
      </c>
      <c r="U219" s="608" t="str">
        <f>IF(Účetní_závěrka!E53&lt;&gt;"",ABS(Účetní_závěrka!E53),"")</f>
        <v/>
      </c>
      <c r="V219" s="608" t="str">
        <f>IF(Účetní_závěrka!F53&lt;&gt;"",Účetní_závěrka!F53,"")</f>
        <v/>
      </c>
      <c r="W219" s="608" t="str">
        <f>IF(Účetní_závěrka!G53&lt;&gt;"",Účetní_závěrka!G53,"")</f>
        <v/>
      </c>
      <c r="Y219" s="605">
        <v>42</v>
      </c>
      <c r="AB219" s="605">
        <f t="shared" si="8"/>
        <v>1</v>
      </c>
      <c r="AC219" s="605" t="str">
        <f t="shared" si="9"/>
        <v/>
      </c>
      <c r="AD219" s="608" t="str">
        <f>IF(Účetní_závěrka!E137&lt;&gt;"",Účetní_závěrka!E137,"")</f>
        <v/>
      </c>
      <c r="AE219" s="608" t="str">
        <f>IF(Účetní_závěrka!D137&lt;&gt;"",Účetní_závěrka!D137,"")</f>
        <v/>
      </c>
      <c r="AF219" s="609"/>
      <c r="AG219" s="605">
        <v>42</v>
      </c>
      <c r="AQ219" s="605">
        <f t="shared" si="10"/>
        <v>1</v>
      </c>
      <c r="AR219" s="605">
        <f t="shared" si="5"/>
        <v>43</v>
      </c>
      <c r="AS219" s="608" t="str">
        <f>IF(Účetní_závěrka!L53&lt;&gt;"",Účetní_závěrka!L53,"")</f>
        <v/>
      </c>
      <c r="AT219" s="608" t="str">
        <f>IF(Účetní_závěrka!K53&lt;&gt;"",Účetní_závěrka!K53,"")</f>
        <v/>
      </c>
      <c r="AV219" s="605">
        <v>43</v>
      </c>
      <c r="AW219" s="609"/>
    </row>
    <row r="220" spans="18:49">
      <c r="R220" s="605">
        <f t="shared" si="7"/>
        <v>1</v>
      </c>
      <c r="S220" s="605">
        <f t="shared" si="6"/>
        <v>43</v>
      </c>
      <c r="T220" s="608" t="str">
        <f>IF(Účetní_závěrka!D54&lt;&gt;"",Účetní_závěrka!D54,"")</f>
        <v/>
      </c>
      <c r="U220" s="608" t="str">
        <f>IF(Účetní_závěrka!E54&lt;&gt;"",ABS(Účetní_závěrka!E54),"")</f>
        <v/>
      </c>
      <c r="V220" s="608" t="str">
        <f>IF(Účetní_závěrka!F54&lt;&gt;"",Účetní_závěrka!F54,"")</f>
        <v/>
      </c>
      <c r="W220" s="608" t="str">
        <f>IF(Účetní_závěrka!G54&lt;&gt;"",Účetní_závěrka!G54,"")</f>
        <v/>
      </c>
      <c r="Y220" s="605">
        <v>43</v>
      </c>
      <c r="AB220" s="605">
        <f t="shared" si="8"/>
        <v>1</v>
      </c>
      <c r="AC220" s="605" t="str">
        <f t="shared" si="9"/>
        <v/>
      </c>
      <c r="AD220" s="608" t="str">
        <f>IF(Účetní_závěrka!E138&lt;&gt;"",Účetní_závěrka!E138,"")</f>
        <v/>
      </c>
      <c r="AE220" s="608" t="str">
        <f>IF(Účetní_závěrka!D138&lt;&gt;"",Účetní_závěrka!D138,"")</f>
        <v/>
      </c>
      <c r="AF220" s="609"/>
      <c r="AG220" s="605">
        <v>43</v>
      </c>
      <c r="AQ220" s="605">
        <f t="shared" si="10"/>
        <v>1</v>
      </c>
      <c r="AR220" s="605">
        <f t="shared" si="5"/>
        <v>44</v>
      </c>
      <c r="AS220" s="608" t="str">
        <f>IF(Účetní_závěrka!L54&lt;&gt;"",Účetní_závěrka!L54,"")</f>
        <v/>
      </c>
      <c r="AT220" s="608" t="str">
        <f>IF(Účetní_závěrka!K54&lt;&gt;"",Účetní_závěrka!K54,"")</f>
        <v/>
      </c>
      <c r="AV220" s="605">
        <v>44</v>
      </c>
      <c r="AW220" s="609"/>
    </row>
    <row r="221" spans="18:49">
      <c r="R221" s="605">
        <f t="shared" si="7"/>
        <v>1</v>
      </c>
      <c r="S221" s="605">
        <f t="shared" si="6"/>
        <v>44</v>
      </c>
      <c r="T221" s="608" t="str">
        <f>IF(Účetní_závěrka!D55&lt;&gt;"",Účetní_závěrka!D55,"")</f>
        <v/>
      </c>
      <c r="U221" s="608" t="str">
        <f>IF(Účetní_závěrka!E55&lt;&gt;"",ABS(Účetní_závěrka!E55),"")</f>
        <v/>
      </c>
      <c r="V221" s="608" t="str">
        <f>IF(Účetní_závěrka!F55&lt;&gt;"",Účetní_závěrka!F55,"")</f>
        <v/>
      </c>
      <c r="W221" s="608" t="str">
        <f>IF(Účetní_závěrka!G55&lt;&gt;"",Účetní_závěrka!G55,"")</f>
        <v/>
      </c>
      <c r="Y221" s="605">
        <v>44</v>
      </c>
      <c r="AB221" s="605">
        <f t="shared" si="8"/>
        <v>1</v>
      </c>
      <c r="AC221" s="605" t="str">
        <f t="shared" si="9"/>
        <v/>
      </c>
      <c r="AD221" s="608" t="str">
        <f>IF(Účetní_závěrka!E139&lt;&gt;"",Účetní_závěrka!E139,"")</f>
        <v/>
      </c>
      <c r="AE221" s="608" t="str">
        <f>IF(Účetní_závěrka!D139&lt;&gt;"",Účetní_závěrka!D139,"")</f>
        <v/>
      </c>
      <c r="AF221" s="609"/>
      <c r="AG221" s="605">
        <v>44</v>
      </c>
      <c r="AQ221" s="605">
        <f t="shared" si="10"/>
        <v>1</v>
      </c>
      <c r="AR221" s="605">
        <f t="shared" si="5"/>
        <v>45</v>
      </c>
      <c r="AS221" s="608" t="str">
        <f>IF(Účetní_závěrka!L55&lt;&gt;"",Účetní_závěrka!L55,"")</f>
        <v/>
      </c>
      <c r="AT221" s="608" t="str">
        <f>IF(Účetní_závěrka!K55&lt;&gt;"",Účetní_závěrka!K55,"")</f>
        <v/>
      </c>
      <c r="AV221" s="605">
        <v>45</v>
      </c>
      <c r="AW221" s="609"/>
    </row>
    <row r="222" spans="18:49">
      <c r="R222" s="605">
        <f t="shared" si="7"/>
        <v>1</v>
      </c>
      <c r="S222" s="605">
        <f t="shared" si="6"/>
        <v>45</v>
      </c>
      <c r="T222" s="608" t="str">
        <f>IF(Účetní_závěrka!D56&lt;&gt;"",Účetní_závěrka!D56,"")</f>
        <v/>
      </c>
      <c r="U222" s="608" t="str">
        <f>IF(Účetní_závěrka!E56&lt;&gt;"",ABS(Účetní_závěrka!E56),"")</f>
        <v/>
      </c>
      <c r="V222" s="608" t="str">
        <f>IF(Účetní_závěrka!F56&lt;&gt;"",Účetní_závěrka!F56,"")</f>
        <v/>
      </c>
      <c r="W222" s="608" t="str">
        <f>IF(Účetní_závěrka!G56&lt;&gt;"",Účetní_závěrka!G56,"")</f>
        <v/>
      </c>
      <c r="Y222" s="605">
        <v>45</v>
      </c>
      <c r="AB222" s="605">
        <f t="shared" si="8"/>
        <v>1</v>
      </c>
      <c r="AC222" s="605" t="str">
        <f t="shared" si="9"/>
        <v/>
      </c>
      <c r="AD222" s="608" t="str">
        <f>IF(Účetní_závěrka!E140&lt;&gt;"",Účetní_závěrka!E140,"")</f>
        <v/>
      </c>
      <c r="AE222" s="608" t="str">
        <f>IF(Účetní_závěrka!D140&lt;&gt;"",Účetní_závěrka!D140,"")</f>
        <v/>
      </c>
      <c r="AF222" s="609"/>
      <c r="AG222" s="605">
        <v>45</v>
      </c>
      <c r="AQ222" s="605">
        <f t="shared" si="10"/>
        <v>1</v>
      </c>
      <c r="AR222" s="605">
        <f t="shared" si="5"/>
        <v>46</v>
      </c>
      <c r="AS222" s="608" t="str">
        <f>IF(Účetní_závěrka!L56&lt;&gt;"",Účetní_závěrka!L56,"")</f>
        <v/>
      </c>
      <c r="AT222" s="608" t="str">
        <f>IF(Účetní_závěrka!K56&lt;&gt;"",Účetní_závěrka!K56,"")</f>
        <v/>
      </c>
      <c r="AV222" s="605">
        <v>46</v>
      </c>
      <c r="AW222" s="609"/>
    </row>
    <row r="223" spans="18:49">
      <c r="R223" s="605">
        <f t="shared" si="7"/>
        <v>1</v>
      </c>
      <c r="S223" s="605">
        <f t="shared" si="6"/>
        <v>46</v>
      </c>
      <c r="T223" s="608" t="str">
        <f>IF(Účetní_závěrka!D57&lt;&gt;"",Účetní_závěrka!D57,"")</f>
        <v/>
      </c>
      <c r="U223" s="608" t="str">
        <f>IF(Účetní_závěrka!E57&lt;&gt;"",ABS(Účetní_závěrka!E57),"")</f>
        <v/>
      </c>
      <c r="V223" s="608" t="str">
        <f>IF(Účetní_závěrka!F57&lt;&gt;"",Účetní_závěrka!F57,"")</f>
        <v/>
      </c>
      <c r="W223" s="608" t="str">
        <f>IF(Účetní_závěrka!G57&lt;&gt;"",Účetní_závěrka!G57,"")</f>
        <v/>
      </c>
      <c r="Y223" s="605">
        <v>46</v>
      </c>
      <c r="AB223" s="605">
        <f t="shared" si="8"/>
        <v>1</v>
      </c>
      <c r="AC223" s="605" t="str">
        <f t="shared" si="9"/>
        <v/>
      </c>
      <c r="AD223" s="608" t="str">
        <f>IF(Účetní_závěrka!E141&lt;&gt;"",Účetní_závěrka!E141,"")</f>
        <v/>
      </c>
      <c r="AE223" s="608" t="str">
        <f>IF(Účetní_závěrka!D141&lt;&gt;"",Účetní_závěrka!D141,"")</f>
        <v/>
      </c>
      <c r="AF223" s="609"/>
      <c r="AG223" s="605">
        <v>46</v>
      </c>
      <c r="AQ223" s="605">
        <f t="shared" si="10"/>
        <v>1</v>
      </c>
      <c r="AR223" s="605">
        <f t="shared" si="5"/>
        <v>47</v>
      </c>
      <c r="AS223" s="608" t="str">
        <f>IF(Účetní_závěrka!L57&lt;&gt;"",Účetní_závěrka!L57,"")</f>
        <v/>
      </c>
      <c r="AT223" s="608" t="str">
        <f>IF(Účetní_závěrka!K57&lt;&gt;"",Účetní_závěrka!K57,"")</f>
        <v/>
      </c>
      <c r="AV223" s="605">
        <v>47</v>
      </c>
      <c r="AW223" s="609"/>
    </row>
    <row r="224" spans="18:49">
      <c r="R224" s="605">
        <f t="shared" si="7"/>
        <v>1</v>
      </c>
      <c r="S224" s="605">
        <f t="shared" si="6"/>
        <v>47</v>
      </c>
      <c r="T224" s="608" t="str">
        <f>IF(Účetní_závěrka!D58&lt;&gt;"",Účetní_závěrka!D58,"")</f>
        <v/>
      </c>
      <c r="U224" s="608" t="str">
        <f>IF(Účetní_závěrka!E58&lt;&gt;"",ABS(Účetní_závěrka!E58),"")</f>
        <v/>
      </c>
      <c r="V224" s="608" t="str">
        <f>IF(Účetní_závěrka!F58&lt;&gt;"",Účetní_závěrka!F58,"")</f>
        <v/>
      </c>
      <c r="W224" s="608" t="str">
        <f>IF(Účetní_závěrka!G58&lt;&gt;"",Účetní_závěrka!G58,"")</f>
        <v/>
      </c>
      <c r="Y224" s="605">
        <v>47</v>
      </c>
      <c r="AB224" s="605">
        <f t="shared" si="8"/>
        <v>1</v>
      </c>
      <c r="AC224" s="605" t="str">
        <f t="shared" si="9"/>
        <v/>
      </c>
      <c r="AD224" s="608" t="str">
        <f>IF(Účetní_závěrka!E142&lt;&gt;"",Účetní_závěrka!E142,"")</f>
        <v/>
      </c>
      <c r="AE224" s="608" t="str">
        <f>IF(Účetní_závěrka!D142&lt;&gt;"",Účetní_závěrka!D142,"")</f>
        <v/>
      </c>
      <c r="AF224" s="609"/>
      <c r="AG224" s="605">
        <v>47</v>
      </c>
      <c r="AQ224" s="605">
        <f t="shared" si="10"/>
        <v>1</v>
      </c>
      <c r="AR224" s="605">
        <f t="shared" si="5"/>
        <v>48</v>
      </c>
      <c r="AS224" s="608" t="str">
        <f>IF(Účetní_závěrka!L58&lt;&gt;"",Účetní_závěrka!L58,"")</f>
        <v/>
      </c>
      <c r="AT224" s="608" t="str">
        <f>IF(Účetní_závěrka!K58&lt;&gt;"",Účetní_závěrka!K58,"")</f>
        <v/>
      </c>
      <c r="AV224" s="605">
        <v>48</v>
      </c>
      <c r="AW224" s="609"/>
    </row>
    <row r="225" spans="18:49">
      <c r="R225" s="605">
        <f t="shared" si="7"/>
        <v>1</v>
      </c>
      <c r="S225" s="605">
        <f t="shared" si="6"/>
        <v>48</v>
      </c>
      <c r="T225" s="608" t="str">
        <f>IF(Účetní_závěrka!D59&lt;&gt;"",Účetní_závěrka!D59,"")</f>
        <v/>
      </c>
      <c r="U225" s="608" t="str">
        <f>IF(Účetní_závěrka!E59&lt;&gt;"",ABS(Účetní_závěrka!E59),"")</f>
        <v/>
      </c>
      <c r="V225" s="608" t="str">
        <f>IF(Účetní_závěrka!F59&lt;&gt;"",Účetní_závěrka!F59,"")</f>
        <v/>
      </c>
      <c r="W225" s="608" t="str">
        <f>IF(Účetní_závěrka!G59&lt;&gt;"",Účetní_závěrka!G59,"")</f>
        <v/>
      </c>
      <c r="Y225" s="605">
        <v>48</v>
      </c>
      <c r="AB225" s="605">
        <f t="shared" si="8"/>
        <v>1</v>
      </c>
      <c r="AC225" s="605" t="str">
        <f t="shared" si="9"/>
        <v/>
      </c>
      <c r="AD225" s="608" t="str">
        <f>IF(Účetní_závěrka!E143&lt;&gt;"",Účetní_závěrka!E143,"")</f>
        <v/>
      </c>
      <c r="AE225" s="608" t="str">
        <f>IF(Účetní_závěrka!D143&lt;&gt;"",Účetní_závěrka!D143,"")</f>
        <v/>
      </c>
      <c r="AF225" s="609"/>
      <c r="AG225" s="605">
        <v>48</v>
      </c>
      <c r="AQ225" s="605">
        <f t="shared" si="10"/>
        <v>1</v>
      </c>
      <c r="AR225" s="605">
        <f t="shared" si="5"/>
        <v>49</v>
      </c>
      <c r="AS225" s="608" t="str">
        <f>IF(Účetní_závěrka!L59&lt;&gt;"",Účetní_závěrka!L59,"")</f>
        <v/>
      </c>
      <c r="AT225" s="608" t="str">
        <f>IF(Účetní_závěrka!K59&lt;&gt;"",Účetní_závěrka!K59,"")</f>
        <v/>
      </c>
      <c r="AV225" s="605">
        <v>49</v>
      </c>
      <c r="AW225" s="609"/>
    </row>
    <row r="226" spans="18:49">
      <c r="R226" s="605">
        <f t="shared" si="7"/>
        <v>1</v>
      </c>
      <c r="S226" s="605">
        <f t="shared" si="6"/>
        <v>49</v>
      </c>
      <c r="T226" s="608" t="str">
        <f>IF(Účetní_závěrka!D60&lt;&gt;"",Účetní_závěrka!D60,"")</f>
        <v/>
      </c>
      <c r="U226" s="608" t="str">
        <f>IF(Účetní_závěrka!E60&lt;&gt;"",ABS(Účetní_závěrka!E60),"")</f>
        <v/>
      </c>
      <c r="V226" s="608" t="str">
        <f>IF(Účetní_závěrka!F60&lt;&gt;"",Účetní_závěrka!F60,"")</f>
        <v/>
      </c>
      <c r="W226" s="608" t="str">
        <f>IF(Účetní_závěrka!G60&lt;&gt;"",Účetní_závěrka!G60,"")</f>
        <v/>
      </c>
      <c r="Y226" s="605">
        <v>49</v>
      </c>
      <c r="AB226" s="605">
        <f t="shared" si="8"/>
        <v>1</v>
      </c>
      <c r="AC226" s="605" t="str">
        <f t="shared" si="9"/>
        <v/>
      </c>
      <c r="AD226" s="608" t="str">
        <f>IF(Účetní_závěrka!E144&lt;&gt;"",Účetní_závěrka!E144,"")</f>
        <v/>
      </c>
      <c r="AE226" s="608" t="str">
        <f>IF(Účetní_závěrka!D144&lt;&gt;"",Účetní_závěrka!D144,"")</f>
        <v/>
      </c>
      <c r="AF226" s="609"/>
      <c r="AG226" s="605">
        <v>49</v>
      </c>
      <c r="AQ226" s="605">
        <f t="shared" si="10"/>
        <v>1</v>
      </c>
      <c r="AR226" s="605">
        <f t="shared" si="5"/>
        <v>50</v>
      </c>
      <c r="AS226" s="608" t="str">
        <f>IF(Účetní_závěrka!L60&lt;&gt;"",Účetní_závěrka!L60,"")</f>
        <v/>
      </c>
      <c r="AT226" s="608" t="str">
        <f>IF(Účetní_závěrka!K60&lt;&gt;"",Účetní_závěrka!K60,"")</f>
        <v/>
      </c>
      <c r="AV226" s="605">
        <v>50</v>
      </c>
      <c r="AW226" s="609"/>
    </row>
    <row r="227" spans="18:49">
      <c r="R227" s="605">
        <f t="shared" si="7"/>
        <v>1</v>
      </c>
      <c r="S227" s="605">
        <f t="shared" si="6"/>
        <v>50</v>
      </c>
      <c r="T227" s="608" t="str">
        <f>IF(Účetní_závěrka!D61&lt;&gt;"",Účetní_závěrka!D61,"")</f>
        <v/>
      </c>
      <c r="U227" s="608" t="str">
        <f>IF(Účetní_závěrka!E61&lt;&gt;"",ABS(Účetní_závěrka!E61),"")</f>
        <v/>
      </c>
      <c r="V227" s="608" t="str">
        <f>IF(Účetní_závěrka!F61&lt;&gt;"",Účetní_závěrka!F61,"")</f>
        <v/>
      </c>
      <c r="W227" s="608" t="str">
        <f>IF(Účetní_závěrka!G61&lt;&gt;"",Účetní_závěrka!G61,"")</f>
        <v/>
      </c>
      <c r="Y227" s="605">
        <v>50</v>
      </c>
      <c r="AB227" s="605">
        <f t="shared" si="8"/>
        <v>1</v>
      </c>
      <c r="AC227" s="605" t="str">
        <f t="shared" si="9"/>
        <v/>
      </c>
      <c r="AD227" s="608" t="str">
        <f>IF(Účetní_závěrka!E145&lt;&gt;"",Účetní_závěrka!E145,"")</f>
        <v/>
      </c>
      <c r="AE227" s="608" t="str">
        <f>IF(Účetní_závěrka!D145&lt;&gt;"",Účetní_závěrka!D145,"")</f>
        <v/>
      </c>
      <c r="AF227" s="609"/>
      <c r="AG227" s="605">
        <v>50</v>
      </c>
      <c r="AQ227" s="605">
        <f t="shared" si="10"/>
        <v>1</v>
      </c>
      <c r="AR227" s="605">
        <f t="shared" si="5"/>
        <v>51</v>
      </c>
      <c r="AS227" s="608" t="str">
        <f>IF(Účetní_závěrka!L61&lt;&gt;"",Účetní_závěrka!L61,"")</f>
        <v/>
      </c>
      <c r="AT227" s="608" t="str">
        <f>IF(Účetní_závěrka!K61&lt;&gt;"",Účetní_závěrka!K61,"")</f>
        <v/>
      </c>
      <c r="AV227" s="605">
        <v>51</v>
      </c>
      <c r="AW227" s="609"/>
    </row>
    <row r="228" spans="18:49">
      <c r="R228" s="605">
        <f t="shared" si="7"/>
        <v>1</v>
      </c>
      <c r="S228" s="605">
        <f t="shared" si="6"/>
        <v>51</v>
      </c>
      <c r="T228" s="608" t="str">
        <f>IF(Účetní_závěrka!D62&lt;&gt;"",Účetní_závěrka!D62,"")</f>
        <v/>
      </c>
      <c r="U228" s="608" t="str">
        <f>IF(Účetní_závěrka!E62&lt;&gt;"",ABS(Účetní_závěrka!E62),"")</f>
        <v/>
      </c>
      <c r="V228" s="608" t="str">
        <f>IF(Účetní_závěrka!F62&lt;&gt;"",Účetní_závěrka!F62,"")</f>
        <v/>
      </c>
      <c r="W228" s="608" t="str">
        <f>IF(Účetní_závěrka!G62&lt;&gt;"",Účetní_závěrka!G62,"")</f>
        <v/>
      </c>
      <c r="Y228" s="605">
        <v>51</v>
      </c>
      <c r="AB228" s="605">
        <f t="shared" si="8"/>
        <v>1</v>
      </c>
      <c r="AC228" s="605" t="str">
        <f t="shared" si="9"/>
        <v/>
      </c>
      <c r="AD228" s="608" t="str">
        <f>IF(Účetní_závěrka!E146&lt;&gt;"",Účetní_závěrka!E146,"")</f>
        <v/>
      </c>
      <c r="AE228" s="608" t="str">
        <f>IF(Účetní_závěrka!D146&lt;&gt;"",Účetní_závěrka!D146,"")</f>
        <v/>
      </c>
      <c r="AF228" s="609"/>
      <c r="AG228" s="605">
        <v>51</v>
      </c>
      <c r="AQ228" s="605">
        <f t="shared" si="10"/>
        <v>1</v>
      </c>
      <c r="AR228" s="605">
        <f t="shared" si="5"/>
        <v>52</v>
      </c>
      <c r="AS228" s="608" t="str">
        <f>IF(Účetní_závěrka!L62&lt;&gt;"",Účetní_závěrka!L62,"")</f>
        <v/>
      </c>
      <c r="AT228" s="608" t="str">
        <f>IF(Účetní_závěrka!K62&lt;&gt;"",Účetní_závěrka!K62,"")</f>
        <v/>
      </c>
      <c r="AV228" s="605">
        <v>52</v>
      </c>
      <c r="AW228" s="609"/>
    </row>
    <row r="229" spans="18:49">
      <c r="R229" s="605">
        <f t="shared" si="7"/>
        <v>1</v>
      </c>
      <c r="S229" s="605">
        <f t="shared" si="6"/>
        <v>52</v>
      </c>
      <c r="T229" s="608" t="str">
        <f>IF(Účetní_závěrka!D63&lt;&gt;"",Účetní_závěrka!D63,"")</f>
        <v/>
      </c>
      <c r="U229" s="608" t="str">
        <f>IF(Účetní_závěrka!E63&lt;&gt;"",ABS(Účetní_závěrka!E63),"")</f>
        <v/>
      </c>
      <c r="V229" s="608" t="str">
        <f>IF(Účetní_závěrka!F63&lt;&gt;"",Účetní_závěrka!F63,"")</f>
        <v/>
      </c>
      <c r="W229" s="608" t="str">
        <f>IF(Účetní_závěrka!G63&lt;&gt;"",Účetní_závěrka!G63,"")</f>
        <v/>
      </c>
      <c r="Y229" s="605">
        <v>52</v>
      </c>
      <c r="AB229" s="605">
        <f t="shared" si="8"/>
        <v>1</v>
      </c>
      <c r="AC229" s="605" t="str">
        <f t="shared" si="9"/>
        <v/>
      </c>
      <c r="AD229" s="608" t="str">
        <f>IF(Účetní_závěrka!E147&lt;&gt;"",Účetní_závěrka!E147,"")</f>
        <v/>
      </c>
      <c r="AE229" s="608" t="str">
        <f>IF(Účetní_závěrka!D147&lt;&gt;"",Účetní_závěrka!D147,"")</f>
        <v/>
      </c>
      <c r="AF229" s="609"/>
      <c r="AG229" s="605">
        <v>52</v>
      </c>
      <c r="AQ229" s="605">
        <f t="shared" si="10"/>
        <v>1</v>
      </c>
      <c r="AR229" s="605">
        <f t="shared" si="5"/>
        <v>53</v>
      </c>
      <c r="AS229" s="608" t="str">
        <f>IF(Účetní_závěrka!L63&lt;&gt;"",Účetní_závěrka!L63,"")</f>
        <v/>
      </c>
      <c r="AT229" s="608" t="str">
        <f>IF(Účetní_závěrka!K63&lt;&gt;"",Účetní_závěrka!K63,"")</f>
        <v/>
      </c>
      <c r="AV229" s="605">
        <v>53</v>
      </c>
      <c r="AW229" s="609"/>
    </row>
    <row r="230" spans="18:49">
      <c r="R230" s="605">
        <f t="shared" si="7"/>
        <v>1</v>
      </c>
      <c r="S230" s="605">
        <f t="shared" si="6"/>
        <v>53</v>
      </c>
      <c r="T230" s="608" t="str">
        <f>IF(Účetní_závěrka!D64&lt;&gt;"",Účetní_závěrka!D64,"")</f>
        <v/>
      </c>
      <c r="U230" s="608" t="str">
        <f>IF(Účetní_závěrka!E64&lt;&gt;"",ABS(Účetní_závěrka!E64),"")</f>
        <v/>
      </c>
      <c r="V230" s="608" t="str">
        <f>IF(Účetní_závěrka!F64&lt;&gt;"",Účetní_závěrka!F64,"")</f>
        <v/>
      </c>
      <c r="W230" s="608" t="str">
        <f>IF(Účetní_závěrka!G64&lt;&gt;"",Účetní_závěrka!G64,"")</f>
        <v/>
      </c>
      <c r="Y230" s="605">
        <v>53</v>
      </c>
      <c r="AB230" s="605">
        <f t="shared" si="8"/>
        <v>1</v>
      </c>
      <c r="AC230" s="605" t="str">
        <f t="shared" si="9"/>
        <v/>
      </c>
      <c r="AD230" s="608" t="str">
        <f>IF(Účetní_závěrka!E148&lt;&gt;"",Účetní_závěrka!E148,"")</f>
        <v/>
      </c>
      <c r="AE230" s="608" t="str">
        <f>IF(Účetní_závěrka!D148&lt;&gt;"",Účetní_závěrka!D148,"")</f>
        <v/>
      </c>
      <c r="AF230" s="609"/>
      <c r="AG230" s="605">
        <v>53</v>
      </c>
      <c r="AQ230" s="605">
        <f t="shared" si="10"/>
        <v>1</v>
      </c>
      <c r="AR230" s="605">
        <f t="shared" si="5"/>
        <v>54</v>
      </c>
      <c r="AS230" s="608" t="str">
        <f>IF(Účetní_závěrka!L64&lt;&gt;"",Účetní_závěrka!L64,"")</f>
        <v/>
      </c>
      <c r="AT230" s="608" t="str">
        <f>IF(Účetní_závěrka!K64&lt;&gt;"",Účetní_závěrka!K64,"")</f>
        <v/>
      </c>
      <c r="AV230" s="605">
        <v>54</v>
      </c>
      <c r="AW230" s="609"/>
    </row>
    <row r="231" spans="18:49">
      <c r="R231" s="605">
        <f t="shared" si="7"/>
        <v>1</v>
      </c>
      <c r="S231" s="605">
        <f t="shared" si="6"/>
        <v>54</v>
      </c>
      <c r="T231" s="608" t="str">
        <f>IF(Účetní_závěrka!D65&lt;&gt;"",Účetní_závěrka!D65,"")</f>
        <v/>
      </c>
      <c r="U231" s="608" t="str">
        <f>IF(Účetní_závěrka!E65&lt;&gt;"",ABS(Účetní_závěrka!E65),"")</f>
        <v/>
      </c>
      <c r="V231" s="608" t="str">
        <f>IF(Účetní_závěrka!F65&lt;&gt;"",Účetní_závěrka!F65,"")</f>
        <v/>
      </c>
      <c r="W231" s="608" t="str">
        <f>IF(Účetní_závěrka!G65&lt;&gt;"",Účetní_závěrka!G65,"")</f>
        <v/>
      </c>
      <c r="Y231" s="605">
        <v>54</v>
      </c>
      <c r="AB231" s="605">
        <f t="shared" si="8"/>
        <v>1</v>
      </c>
      <c r="AC231" s="605" t="str">
        <f t="shared" si="9"/>
        <v/>
      </c>
      <c r="AD231" s="608" t="str">
        <f>IF(Účetní_závěrka!E149&lt;&gt;"",Účetní_závěrka!E149,"")</f>
        <v/>
      </c>
      <c r="AE231" s="608" t="str">
        <f>IF(Účetní_závěrka!D149&lt;&gt;"",Účetní_závěrka!D149,"")</f>
        <v/>
      </c>
      <c r="AF231" s="609"/>
      <c r="AG231" s="605">
        <v>54</v>
      </c>
      <c r="AQ231" s="605">
        <f t="shared" si="10"/>
        <v>1</v>
      </c>
      <c r="AR231" s="605">
        <f t="shared" si="5"/>
        <v>55</v>
      </c>
      <c r="AS231" s="608" t="str">
        <f>IF(Účetní_závěrka!L65&lt;&gt;"",Účetní_závěrka!L65,"")</f>
        <v/>
      </c>
      <c r="AT231" s="608" t="str">
        <f>IF(Účetní_závěrka!K65&lt;&gt;"",Účetní_závěrka!K65,"")</f>
        <v/>
      </c>
      <c r="AV231" s="605">
        <v>55</v>
      </c>
      <c r="AW231" s="609"/>
    </row>
    <row r="232" spans="18:49">
      <c r="R232" s="605">
        <f t="shared" si="7"/>
        <v>1</v>
      </c>
      <c r="S232" s="605">
        <f t="shared" si="6"/>
        <v>55</v>
      </c>
      <c r="T232" s="608" t="str">
        <f>IF(Účetní_závěrka!D66&lt;&gt;"",Účetní_závěrka!D66,"")</f>
        <v/>
      </c>
      <c r="U232" s="608" t="str">
        <f>IF(Účetní_závěrka!E66&lt;&gt;"",ABS(Účetní_závěrka!E66),"")</f>
        <v/>
      </c>
      <c r="V232" s="608" t="str">
        <f>IF(Účetní_závěrka!F66&lt;&gt;"",Účetní_závěrka!F66,"")</f>
        <v/>
      </c>
      <c r="W232" s="608" t="str">
        <f>IF(Účetní_závěrka!G66&lt;&gt;"",Účetní_závěrka!G66,"")</f>
        <v/>
      </c>
      <c r="Y232" s="605">
        <v>55</v>
      </c>
      <c r="AB232" s="605">
        <f t="shared" si="8"/>
        <v>1</v>
      </c>
      <c r="AC232" s="605" t="str">
        <f t="shared" si="9"/>
        <v/>
      </c>
      <c r="AD232" s="608" t="str">
        <f>IF(Účetní_závěrka!E150&lt;&gt;"",Účetní_závěrka!E150,"")</f>
        <v/>
      </c>
      <c r="AE232" s="608" t="str">
        <f>IF(Účetní_závěrka!D150&lt;&gt;"",Účetní_závěrka!D150,"")</f>
        <v/>
      </c>
      <c r="AF232" s="609"/>
      <c r="AG232" s="605">
        <v>55</v>
      </c>
      <c r="AQ232" s="605">
        <f t="shared" si="10"/>
        <v>1</v>
      </c>
      <c r="AR232" s="605">
        <f t="shared" si="5"/>
        <v>56</v>
      </c>
      <c r="AS232" s="608" t="str">
        <f>IF(Účetní_závěrka!L66&lt;&gt;"",Účetní_závěrka!L66,"")</f>
        <v/>
      </c>
      <c r="AT232" s="608" t="str">
        <f>IF(Účetní_závěrka!K66&lt;&gt;"",Účetní_závěrka!K66,"")</f>
        <v/>
      </c>
      <c r="AV232" s="605">
        <v>56</v>
      </c>
      <c r="AW232" s="609"/>
    </row>
    <row r="233" spans="18:49">
      <c r="R233" s="605">
        <f t="shared" si="7"/>
        <v>1</v>
      </c>
      <c r="S233" s="605">
        <f t="shared" si="6"/>
        <v>56</v>
      </c>
      <c r="T233" s="608" t="str">
        <f>IF(Účetní_závěrka!D67&lt;&gt;"",Účetní_závěrka!D67,"")</f>
        <v/>
      </c>
      <c r="U233" s="608" t="str">
        <f>IF(Účetní_závěrka!E67&lt;&gt;"",ABS(Účetní_závěrka!E67),"")</f>
        <v/>
      </c>
      <c r="V233" s="608" t="str">
        <f>IF(Účetní_závěrka!F67&lt;&gt;"",Účetní_závěrka!F67,"")</f>
        <v/>
      </c>
      <c r="W233" s="608" t="str">
        <f>IF(Účetní_závěrka!G67&lt;&gt;"",Účetní_závěrka!G67,"")</f>
        <v/>
      </c>
      <c r="Y233" s="605">
        <v>56</v>
      </c>
      <c r="AB233" s="605">
        <f t="shared" si="8"/>
        <v>1</v>
      </c>
      <c r="AC233" s="605" t="str">
        <f t="shared" si="9"/>
        <v/>
      </c>
      <c r="AD233" s="608" t="str">
        <f>IF(Účetní_závěrka!E151&lt;&gt;"",Účetní_závěrka!E151,"")</f>
        <v/>
      </c>
      <c r="AE233" s="608" t="str">
        <f>IF(Účetní_závěrka!D151&lt;&gt;"",Účetní_závěrka!D151,"")</f>
        <v/>
      </c>
      <c r="AF233" s="609"/>
      <c r="AG233" s="605">
        <v>56</v>
      </c>
      <c r="AQ233" s="605">
        <f t="shared" si="10"/>
        <v>1</v>
      </c>
      <c r="AR233" s="605">
        <f t="shared" si="5"/>
        <v>57</v>
      </c>
      <c r="AS233" s="608" t="str">
        <f>IF(Účetní_závěrka!L67&lt;&gt;"",Účetní_závěrka!L67,"")</f>
        <v/>
      </c>
      <c r="AT233" s="608" t="str">
        <f>IF(Účetní_závěrka!K67&lt;&gt;"",Účetní_závěrka!K67,"")</f>
        <v/>
      </c>
      <c r="AV233" s="605">
        <v>57</v>
      </c>
      <c r="AW233" s="609"/>
    </row>
    <row r="234" spans="18:49">
      <c r="R234" s="605">
        <f t="shared" si="7"/>
        <v>1</v>
      </c>
      <c r="S234" s="605">
        <f t="shared" si="6"/>
        <v>57</v>
      </c>
      <c r="T234" s="608" t="str">
        <f>IF(Účetní_závěrka!D68&lt;&gt;"",Účetní_závěrka!D68,"")</f>
        <v/>
      </c>
      <c r="U234" s="608" t="str">
        <f>IF(Účetní_závěrka!E68&lt;&gt;"",ABS(Účetní_závěrka!E68),"")</f>
        <v/>
      </c>
      <c r="V234" s="608" t="str">
        <f>IF(Účetní_závěrka!F68&lt;&gt;"",Účetní_závěrka!F68,"")</f>
        <v/>
      </c>
      <c r="W234" s="608" t="str">
        <f>IF(Účetní_závěrka!G68&lt;&gt;"",Účetní_závěrka!G68,"")</f>
        <v/>
      </c>
      <c r="Y234" s="605">
        <v>57</v>
      </c>
      <c r="AB234" s="608">
        <f t="shared" ref="AB234:AB237" si="11">$AB$176</f>
        <v>1</v>
      </c>
      <c r="AC234" s="605" t="str">
        <f t="shared" ref="AC234:AC237" si="12">IF($B$38="P",AG238,IF(AH238&lt;&gt;"",AH238,""))</f>
        <v/>
      </c>
      <c r="AD234" s="608"/>
      <c r="AE234" s="608"/>
      <c r="AF234" s="609"/>
      <c r="AG234" s="609"/>
      <c r="AH234" s="609"/>
      <c r="AQ234" s="605">
        <f t="shared" si="10"/>
        <v>1</v>
      </c>
      <c r="AR234" s="605">
        <f t="shared" si="5"/>
        <v>58</v>
      </c>
      <c r="AS234" s="608" t="str">
        <f>IF(Účetní_závěrka!L68&lt;&gt;"",Účetní_závěrka!L68,"")</f>
        <v/>
      </c>
      <c r="AT234" s="608" t="str">
        <f>IF(Účetní_závěrka!K68&lt;&gt;"",Účetní_závěrka!K68,"")</f>
        <v/>
      </c>
      <c r="AV234" s="605">
        <v>58</v>
      </c>
      <c r="AW234" s="609"/>
    </row>
    <row r="235" spans="18:49">
      <c r="R235" s="605">
        <f t="shared" si="7"/>
        <v>1</v>
      </c>
      <c r="S235" s="605">
        <f t="shared" si="6"/>
        <v>58</v>
      </c>
      <c r="T235" s="608" t="str">
        <f>IF(Účetní_závěrka!D69&lt;&gt;"",Účetní_závěrka!D69,"")</f>
        <v/>
      </c>
      <c r="U235" s="608" t="str">
        <f>IF(Účetní_závěrka!E69&lt;&gt;"",ABS(Účetní_závěrka!E69),"")</f>
        <v/>
      </c>
      <c r="V235" s="608" t="str">
        <f>IF(Účetní_závěrka!F69&lt;&gt;"",Účetní_závěrka!F69,"")</f>
        <v/>
      </c>
      <c r="W235" s="608" t="str">
        <f>IF(Účetní_závěrka!G69&lt;&gt;"",Účetní_závěrka!G69,"")</f>
        <v/>
      </c>
      <c r="Y235" s="605">
        <v>58</v>
      </c>
      <c r="AB235" s="608">
        <f t="shared" si="11"/>
        <v>1</v>
      </c>
      <c r="AC235" s="605" t="str">
        <f t="shared" si="12"/>
        <v/>
      </c>
      <c r="AD235" s="608"/>
      <c r="AE235" s="608"/>
      <c r="AF235" s="609"/>
      <c r="AG235" s="609"/>
      <c r="AH235" s="609"/>
      <c r="AQ235" s="605">
        <f t="shared" si="10"/>
        <v>1</v>
      </c>
      <c r="AR235" s="605">
        <f t="shared" si="5"/>
        <v>59</v>
      </c>
      <c r="AS235" s="608" t="str">
        <f>IF(Účetní_závěrka!L69&lt;&gt;"",Účetní_závěrka!L69,"")</f>
        <v/>
      </c>
      <c r="AT235" s="608" t="str">
        <f>IF(Účetní_závěrka!K69&lt;&gt;"",Účetní_závěrka!K69,"")</f>
        <v/>
      </c>
      <c r="AV235" s="605">
        <v>59</v>
      </c>
      <c r="AW235" s="609"/>
    </row>
    <row r="236" spans="18:49">
      <c r="R236" s="605">
        <f t="shared" si="7"/>
        <v>1</v>
      </c>
      <c r="S236" s="605">
        <f t="shared" si="6"/>
        <v>59</v>
      </c>
      <c r="T236" s="608" t="str">
        <f>IF(Účetní_závěrka!D70&lt;&gt;"",Účetní_závěrka!D70,"")</f>
        <v/>
      </c>
      <c r="U236" s="608" t="str">
        <f>IF(Účetní_závěrka!E70&lt;&gt;"",ABS(Účetní_závěrka!E70),"")</f>
        <v/>
      </c>
      <c r="V236" s="608" t="str">
        <f>IF(Účetní_závěrka!F70&lt;&gt;"",Účetní_závěrka!F70,"")</f>
        <v/>
      </c>
      <c r="W236" s="608" t="str">
        <f>IF(Účetní_závěrka!G70&lt;&gt;"",Účetní_závěrka!G70,"")</f>
        <v/>
      </c>
      <c r="Y236" s="605">
        <v>59</v>
      </c>
      <c r="AB236" s="608">
        <f t="shared" si="11"/>
        <v>1</v>
      </c>
      <c r="AC236" s="605" t="str">
        <f t="shared" si="12"/>
        <v/>
      </c>
      <c r="AD236" s="608"/>
      <c r="AE236" s="608"/>
      <c r="AF236" s="609"/>
      <c r="AG236" s="609"/>
      <c r="AH236" s="609"/>
      <c r="AQ236" s="608">
        <f t="shared" ref="AQ236:AQ243" si="13">$AP$178</f>
        <v>1</v>
      </c>
      <c r="AR236" s="605">
        <f t="shared" si="5"/>
        <v>60</v>
      </c>
      <c r="AS236" s="608" t="str">
        <f>IF(Účetní_závěrka!L70&lt;&gt;"",Účetní_závěrka!L70,"")</f>
        <v/>
      </c>
      <c r="AT236" s="608" t="str">
        <f>IF(Účetní_závěrka!K70&lt;&gt;"",Účetní_závěrka!K70,"")</f>
        <v/>
      </c>
      <c r="AV236" s="605">
        <v>60</v>
      </c>
      <c r="AW236" s="609"/>
    </row>
    <row r="237" spans="18:49">
      <c r="R237" s="605">
        <f t="shared" si="7"/>
        <v>1</v>
      </c>
      <c r="S237" s="605">
        <f t="shared" si="6"/>
        <v>60</v>
      </c>
      <c r="T237" s="608" t="str">
        <f>IF(Účetní_závěrka!D71&lt;&gt;"",Účetní_závěrka!D71,"")</f>
        <v/>
      </c>
      <c r="U237" s="608" t="str">
        <f>IF(Účetní_závěrka!E71&lt;&gt;"",ABS(Účetní_závěrka!E71),"")</f>
        <v/>
      </c>
      <c r="V237" s="608" t="str">
        <f>IF(Účetní_závěrka!F71&lt;&gt;"",Účetní_závěrka!F71,"")</f>
        <v/>
      </c>
      <c r="W237" s="608" t="str">
        <f>IF(Účetní_závěrka!G71&lt;&gt;"",Účetní_závěrka!G71,"")</f>
        <v/>
      </c>
      <c r="Y237" s="605">
        <v>60</v>
      </c>
      <c r="AB237" s="608">
        <f t="shared" si="11"/>
        <v>1</v>
      </c>
      <c r="AC237" s="605" t="str">
        <f t="shared" si="12"/>
        <v/>
      </c>
      <c r="AD237" s="608"/>
      <c r="AE237" s="608"/>
      <c r="AF237" s="609"/>
      <c r="AG237" s="609"/>
      <c r="AH237" s="609"/>
      <c r="AQ237" s="608">
        <f t="shared" si="13"/>
        <v>1</v>
      </c>
      <c r="AR237" s="605">
        <f t="shared" si="5"/>
        <v>61</v>
      </c>
      <c r="AS237" s="608" t="str">
        <f>IF(Účetní_závěrka!L71&lt;&gt;"",Účetní_závěrka!L71,"")</f>
        <v/>
      </c>
      <c r="AT237" s="608" t="str">
        <f>IF(Účetní_závěrka!K71&lt;&gt;"",Účetní_závěrka!K71,"")</f>
        <v/>
      </c>
      <c r="AV237" s="605">
        <v>61</v>
      </c>
      <c r="AW237" s="609"/>
    </row>
    <row r="238" spans="18:49">
      <c r="R238" s="605">
        <f t="shared" si="7"/>
        <v>1</v>
      </c>
      <c r="S238" s="605">
        <f t="shared" si="6"/>
        <v>61</v>
      </c>
      <c r="T238" s="608" t="str">
        <f>IF(Účetní_závěrka!D72&lt;&gt;"",Účetní_závěrka!D72,"")</f>
        <v/>
      </c>
      <c r="U238" s="608" t="str">
        <f>IF(Účetní_závěrka!E72&lt;&gt;"",ABS(Účetní_závěrka!E72),"")</f>
        <v/>
      </c>
      <c r="V238" s="608" t="str">
        <f>IF(Účetní_závěrka!F72&lt;&gt;"",Účetní_závěrka!F72,"")</f>
        <v/>
      </c>
      <c r="W238" s="608" t="str">
        <f>IF(Účetní_závěrka!G72&lt;&gt;"",Účetní_závěrka!G72,"")</f>
        <v/>
      </c>
      <c r="Y238" s="605">
        <v>61</v>
      </c>
      <c r="AD238" s="608"/>
      <c r="AE238" s="608"/>
      <c r="AF238" s="609"/>
      <c r="AG238" s="609"/>
      <c r="AH238" s="609"/>
      <c r="AQ238" s="608">
        <f t="shared" si="13"/>
        <v>1</v>
      </c>
      <c r="AR238" s="605">
        <f t="shared" si="5"/>
        <v>62</v>
      </c>
      <c r="AS238" s="608" t="str">
        <f>IF(Účetní_závěrka!L72&lt;&gt;"",Účetní_závěrka!L72,"")</f>
        <v/>
      </c>
      <c r="AT238" s="608" t="str">
        <f>IF(Účetní_závěrka!K72&lt;&gt;"",Účetní_závěrka!K72,"")</f>
        <v/>
      </c>
      <c r="AV238" s="605">
        <v>62</v>
      </c>
      <c r="AW238" s="609"/>
    </row>
    <row r="239" spans="18:49">
      <c r="R239" s="605">
        <f t="shared" si="7"/>
        <v>1</v>
      </c>
      <c r="S239" s="605">
        <f t="shared" si="6"/>
        <v>62</v>
      </c>
      <c r="T239" s="608" t="str">
        <f>IF(Účetní_závěrka!D73&lt;&gt;"",Účetní_závěrka!D73,"")</f>
        <v/>
      </c>
      <c r="U239" s="608" t="str">
        <f>IF(Účetní_závěrka!E73&lt;&gt;"",ABS(Účetní_závěrka!E73),"")</f>
        <v/>
      </c>
      <c r="V239" s="608" t="str">
        <f>IF(Účetní_závěrka!F73&lt;&gt;"",Účetní_závěrka!F73,"")</f>
        <v/>
      </c>
      <c r="W239" s="608" t="str">
        <f>IF(Účetní_závěrka!G73&lt;&gt;"",Účetní_závěrka!G73,"")</f>
        <v/>
      </c>
      <c r="Y239" s="605">
        <v>62</v>
      </c>
      <c r="AQ239" s="608">
        <f t="shared" si="13"/>
        <v>1</v>
      </c>
      <c r="AR239" s="605">
        <f t="shared" si="5"/>
        <v>63</v>
      </c>
      <c r="AS239" s="608" t="str">
        <f>IF(Účetní_závěrka!L73&lt;&gt;"",Účetní_závěrka!L73,"")</f>
        <v/>
      </c>
      <c r="AT239" s="608" t="str">
        <f>IF(Účetní_závěrka!K73&lt;&gt;"",Účetní_závěrka!K73,"")</f>
        <v/>
      </c>
      <c r="AV239" s="605">
        <v>63</v>
      </c>
      <c r="AW239" s="609"/>
    </row>
    <row r="240" spans="18:49">
      <c r="R240" s="605">
        <f t="shared" si="7"/>
        <v>1</v>
      </c>
      <c r="S240" s="605">
        <f t="shared" si="6"/>
        <v>63</v>
      </c>
      <c r="T240" s="608" t="str">
        <f>IF(Účetní_závěrka!D74&lt;&gt;"",Účetní_závěrka!D74,"")</f>
        <v/>
      </c>
      <c r="U240" s="608" t="str">
        <f>IF(Účetní_závěrka!E74&lt;&gt;"",ABS(Účetní_závěrka!E74),"")</f>
        <v/>
      </c>
      <c r="V240" s="608" t="str">
        <f>IF(Účetní_závěrka!F74&lt;&gt;"",Účetní_závěrka!F74,"")</f>
        <v/>
      </c>
      <c r="W240" s="608" t="str">
        <f>IF(Účetní_závěrka!G74&lt;&gt;"",Účetní_závěrka!G74,"")</f>
        <v/>
      </c>
      <c r="Y240" s="605">
        <v>63</v>
      </c>
      <c r="AQ240" s="608">
        <f t="shared" si="13"/>
        <v>1</v>
      </c>
      <c r="AR240" s="605">
        <f t="shared" si="5"/>
        <v>67</v>
      </c>
      <c r="AS240" s="608" t="str">
        <f>IF(Účetní_závěrka!L74&lt;&gt;"",Účetní_závěrka!L74,"")</f>
        <v/>
      </c>
      <c r="AT240" s="608" t="str">
        <f>IF(Účetní_závěrka!K74&lt;&gt;"",Účetní_závěrka!K74,"")</f>
        <v/>
      </c>
      <c r="AV240" s="605">
        <v>67</v>
      </c>
      <c r="AW240" s="609"/>
    </row>
    <row r="241" spans="18:49">
      <c r="R241" s="605">
        <f t="shared" si="7"/>
        <v>1</v>
      </c>
      <c r="S241" s="605">
        <f t="shared" si="6"/>
        <v>64</v>
      </c>
      <c r="T241" s="608" t="str">
        <f>IF(Účetní_závěrka!D75&lt;&gt;"",Účetní_závěrka!D75,"")</f>
        <v/>
      </c>
      <c r="U241" s="608" t="str">
        <f>IF(Účetní_závěrka!E75&lt;&gt;"",ABS(Účetní_závěrka!E75),"")</f>
        <v/>
      </c>
      <c r="V241" s="608" t="str">
        <f>IF(Účetní_závěrka!F75&lt;&gt;"",Účetní_závěrka!F75,"")</f>
        <v/>
      </c>
      <c r="W241" s="608" t="str">
        <f>IF(Účetní_závěrka!G75&lt;&gt;"",Účetní_závěrka!G75,"")</f>
        <v/>
      </c>
      <c r="Y241" s="605">
        <v>64</v>
      </c>
      <c r="AQ241" s="608">
        <f t="shared" si="13"/>
        <v>1</v>
      </c>
      <c r="AR241" s="605">
        <f t="shared" si="5"/>
        <v>68</v>
      </c>
      <c r="AS241" s="608" t="str">
        <f>IF(Účetní_závěrka!L75&lt;&gt;"",Účetní_závěrka!L75,"")</f>
        <v/>
      </c>
      <c r="AT241" s="608" t="str">
        <f>IF(Účetní_závěrka!K75&lt;&gt;"",Účetní_závěrka!K75,"")</f>
        <v/>
      </c>
      <c r="AV241" s="605">
        <v>68</v>
      </c>
      <c r="AW241" s="609"/>
    </row>
    <row r="242" spans="18:49">
      <c r="R242" s="605">
        <f t="shared" si="7"/>
        <v>1</v>
      </c>
      <c r="S242" s="605">
        <f t="shared" ref="S242:S254" si="14">IF($B$38="P",Y242,IF($B$38="Z",IF(Z242&lt;&gt;"",Z242,""),IF($B$38="M",IF(AA242&lt;&gt;"",AA242,""),Y242)))</f>
        <v>65</v>
      </c>
      <c r="T242" s="608" t="str">
        <f>IF(Účetní_závěrka!D76&lt;&gt;"",Účetní_závěrka!D76,"")</f>
        <v/>
      </c>
      <c r="U242" s="608" t="str">
        <f>IF(Účetní_závěrka!E76&lt;&gt;"",ABS(Účetní_závěrka!E76),"")</f>
        <v/>
      </c>
      <c r="V242" s="608" t="str">
        <f>IF(Účetní_závěrka!F76&lt;&gt;"",Účetní_závěrka!F76,"")</f>
        <v/>
      </c>
      <c r="W242" s="608" t="str">
        <f>IF(Účetní_závěrka!G76&lt;&gt;"",Účetní_závěrka!G76,"")</f>
        <v/>
      </c>
      <c r="Y242" s="605">
        <v>65</v>
      </c>
      <c r="AQ242" s="608">
        <f t="shared" si="13"/>
        <v>1</v>
      </c>
      <c r="AR242" s="605">
        <f t="shared" ref="AR242" si="15">IF($B$38="P",AV242,IF($B$38="Z",IF(AW242&lt;&gt;"",AW242,""),IF($B$38="M",IF(AX242&lt;&gt;"",AX242,""),AV242)))</f>
        <v>69</v>
      </c>
      <c r="AS242" s="608" t="str">
        <f>IF(Účetní_závěrka!L76&lt;&gt;"",Účetní_závěrka!L76,"")</f>
        <v/>
      </c>
      <c r="AT242" s="608" t="str">
        <f>IF(Účetní_závěrka!K76&lt;&gt;"",Účetní_závěrka!K76,"")</f>
        <v/>
      </c>
      <c r="AV242" s="605">
        <v>69</v>
      </c>
      <c r="AW242" s="609"/>
    </row>
    <row r="243" spans="18:49">
      <c r="R243" s="605">
        <f t="shared" si="7"/>
        <v>1</v>
      </c>
      <c r="S243" s="605">
        <f t="shared" si="14"/>
        <v>66</v>
      </c>
      <c r="T243" s="608" t="str">
        <f>IF(Účetní_závěrka!D77&lt;&gt;"",Účetní_závěrka!D77,"")</f>
        <v/>
      </c>
      <c r="U243" s="608" t="str">
        <f>IF(Účetní_závěrka!E77&lt;&gt;"",ABS(Účetní_závěrka!E77),"")</f>
        <v/>
      </c>
      <c r="V243" s="608" t="str">
        <f>IF(Účetní_závěrka!F77&lt;&gt;"",Účetní_závěrka!F77,"")</f>
        <v/>
      </c>
      <c r="W243" s="608" t="str">
        <f>IF(Účetní_závěrka!G77&lt;&gt;"",Účetní_závěrka!G77,"")</f>
        <v/>
      </c>
      <c r="Y243" s="605">
        <v>66</v>
      </c>
      <c r="AQ243" s="608">
        <f t="shared" si="13"/>
        <v>1</v>
      </c>
      <c r="AR243" s="605">
        <f t="shared" ref="AR243:AR245" si="16">IF($B$38="P",AV243,IF($B$38="Z",IF(AW243&lt;&gt;"",AW243,""),IF($B$38="M",IF(AX243&lt;&gt;"",AX243,""),AV243)))</f>
        <v>64</v>
      </c>
      <c r="AS243" s="608" t="str">
        <f>IF(Účetní_závěrka!L77&lt;&gt;"",Účetní_závěrka!L77,"")</f>
        <v/>
      </c>
      <c r="AT243" s="608" t="str">
        <f>IF(Účetní_závěrka!K77&lt;&gt;"",Účetní_závěrka!K77,"")</f>
        <v/>
      </c>
      <c r="AV243" s="605">
        <v>64</v>
      </c>
      <c r="AW243" s="609"/>
    </row>
    <row r="244" spans="18:49">
      <c r="R244" s="605">
        <f t="shared" ref="R244:R254" si="17">$Q$178</f>
        <v>1</v>
      </c>
      <c r="S244" s="605">
        <f t="shared" si="14"/>
        <v>67</v>
      </c>
      <c r="T244" s="608" t="str">
        <f>IF(Účetní_závěrka!D78&lt;&gt;"",Účetní_závěrka!D78,"")</f>
        <v/>
      </c>
      <c r="U244" s="608" t="str">
        <f>IF(Účetní_závěrka!E78&lt;&gt;"",ABS(Účetní_závěrka!E78),"")</f>
        <v/>
      </c>
      <c r="V244" s="608" t="str">
        <f>IF(Účetní_závěrka!F78&lt;&gt;"",Účetní_závěrka!F78,"")</f>
        <v/>
      </c>
      <c r="W244" s="608" t="str">
        <f>IF(Účetní_závěrka!G78&lt;&gt;"",Účetní_závěrka!G78,"")</f>
        <v/>
      </c>
      <c r="Y244" s="605">
        <v>67</v>
      </c>
      <c r="AQ244" s="608">
        <f t="shared" ref="AQ244:AQ245" si="18">$AP$178</f>
        <v>1</v>
      </c>
      <c r="AR244" s="605">
        <f t="shared" si="16"/>
        <v>65</v>
      </c>
      <c r="AS244" s="608" t="str">
        <f>IF(Účetní_závěrka!L78&lt;&gt;"",Účetní_závěrka!L78,"")</f>
        <v/>
      </c>
      <c r="AT244" s="608" t="str">
        <f>IF(Účetní_závěrka!K78&lt;&gt;"",Účetní_závěrka!K78,"")</f>
        <v/>
      </c>
      <c r="AV244" s="605">
        <v>65</v>
      </c>
      <c r="AW244" s="609"/>
    </row>
    <row r="245" spans="18:49">
      <c r="R245" s="605">
        <f t="shared" si="17"/>
        <v>1</v>
      </c>
      <c r="S245" s="605">
        <f t="shared" si="14"/>
        <v>78</v>
      </c>
      <c r="T245" s="608" t="str">
        <f>IF(Účetní_závěrka!D79&lt;&gt;"",Účetní_závěrka!D79,"")</f>
        <v/>
      </c>
      <c r="U245" s="608" t="str">
        <f>IF(Účetní_závěrka!E79&lt;&gt;"",ABS(Účetní_závěrka!E79),"")</f>
        <v/>
      </c>
      <c r="V245" s="608" t="str">
        <f>IF(Účetní_závěrka!F79&lt;&gt;"",Účetní_závěrka!F79,"")</f>
        <v/>
      </c>
      <c r="W245" s="608" t="str">
        <f>IF(Účetní_závěrka!G79&lt;&gt;"",Účetní_závěrka!G79,"")</f>
        <v/>
      </c>
      <c r="Y245" s="605">
        <v>78</v>
      </c>
      <c r="AQ245" s="608">
        <f t="shared" si="18"/>
        <v>1</v>
      </c>
      <c r="AR245" s="605">
        <f t="shared" si="16"/>
        <v>66</v>
      </c>
      <c r="AS245" s="608" t="str">
        <f>IF(Účetní_závěrka!L79&lt;&gt;"",Účetní_závěrka!L79,"")</f>
        <v/>
      </c>
      <c r="AT245" s="608" t="str">
        <f>IF(Účetní_závěrka!K79&lt;&gt;"",Účetní_závěrka!K79,"")</f>
        <v/>
      </c>
      <c r="AV245" s="605">
        <v>66</v>
      </c>
      <c r="AW245" s="609"/>
    </row>
    <row r="246" spans="18:49">
      <c r="R246" s="605">
        <f t="shared" si="17"/>
        <v>1</v>
      </c>
      <c r="S246" s="605">
        <f t="shared" si="14"/>
        <v>79</v>
      </c>
      <c r="T246" s="608" t="str">
        <f>IF(Účetní_závěrka!D80&lt;&gt;"",Účetní_závěrka!D80,"")</f>
        <v/>
      </c>
      <c r="U246" s="608" t="str">
        <f>IF(Účetní_závěrka!E80&lt;&gt;"",ABS(Účetní_závěrka!E80),"")</f>
        <v/>
      </c>
      <c r="V246" s="608" t="str">
        <f>IF(Účetní_závěrka!F80&lt;&gt;"",Účetní_závěrka!F80,"")</f>
        <v/>
      </c>
      <c r="W246" s="608" t="str">
        <f>IF(Účetní_závěrka!G80&lt;&gt;"",Účetní_závěrka!G80,"")</f>
        <v/>
      </c>
      <c r="Y246" s="605">
        <v>79</v>
      </c>
    </row>
    <row r="247" spans="18:49">
      <c r="R247" s="605">
        <f t="shared" si="17"/>
        <v>1</v>
      </c>
      <c r="S247" s="605">
        <f t="shared" si="14"/>
        <v>80</v>
      </c>
      <c r="T247" s="608" t="str">
        <f>IF(Účetní_závěrka!D81&lt;&gt;"",Účetní_závěrka!D81,"")</f>
        <v/>
      </c>
      <c r="U247" s="608" t="str">
        <f>IF(Účetní_závěrka!E81&lt;&gt;"",ABS(Účetní_závěrka!E81),"")</f>
        <v/>
      </c>
      <c r="V247" s="608" t="str">
        <f>IF(Účetní_závěrka!F81&lt;&gt;"",Účetní_závěrka!F81,"")</f>
        <v/>
      </c>
      <c r="W247" s="608" t="str">
        <f>IF(Účetní_závěrka!G81&lt;&gt;"",Účetní_závěrka!G81,"")</f>
        <v/>
      </c>
      <c r="Y247" s="605">
        <v>80</v>
      </c>
    </row>
    <row r="248" spans="18:49">
      <c r="R248" s="605">
        <f t="shared" si="17"/>
        <v>1</v>
      </c>
      <c r="S248" s="605">
        <f t="shared" si="14"/>
        <v>81</v>
      </c>
      <c r="T248" s="608" t="str">
        <f>IF(Účetní_závěrka!D82&lt;&gt;"",Účetní_závěrka!D82,"")</f>
        <v/>
      </c>
      <c r="U248" s="608" t="str">
        <f>IF(Účetní_závěrka!E82&lt;&gt;"",ABS(Účetní_závěrka!E82),"")</f>
        <v/>
      </c>
      <c r="V248" s="608" t="str">
        <f>IF(Účetní_závěrka!F82&lt;&gt;"",Účetní_závěrka!F82,"")</f>
        <v/>
      </c>
      <c r="W248" s="608" t="str">
        <f>IF(Účetní_závěrka!G82&lt;&gt;"",Účetní_závěrka!G82,"")</f>
        <v/>
      </c>
      <c r="Y248" s="605">
        <v>81</v>
      </c>
    </row>
    <row r="249" spans="18:49">
      <c r="R249" s="605">
        <f t="shared" si="17"/>
        <v>1</v>
      </c>
      <c r="S249" s="605">
        <f t="shared" si="14"/>
        <v>68</v>
      </c>
      <c r="T249" s="608" t="str">
        <f>IF(Účetní_závěrka!D83&lt;&gt;"",Účetní_závěrka!D83,"")</f>
        <v/>
      </c>
      <c r="U249" s="608" t="str">
        <f>IF(Účetní_závěrka!E83&lt;&gt;"",ABS(Účetní_závěrka!E83),"")</f>
        <v/>
      </c>
      <c r="V249" s="608" t="str">
        <f>IF(Účetní_závěrka!F83&lt;&gt;"",Účetní_závěrka!F83,"")</f>
        <v/>
      </c>
      <c r="W249" s="608" t="str">
        <f>IF(Účetní_závěrka!G83&lt;&gt;"",Účetní_závěrka!G83,"")</f>
        <v/>
      </c>
      <c r="Y249" s="605">
        <v>68</v>
      </c>
    </row>
    <row r="250" spans="18:49">
      <c r="R250" s="605">
        <f t="shared" si="17"/>
        <v>1</v>
      </c>
      <c r="S250" s="605">
        <f t="shared" si="14"/>
        <v>69</v>
      </c>
      <c r="T250" s="608" t="str">
        <f>IF(Účetní_závěrka!D84&lt;&gt;"",Účetní_závěrka!D84,"")</f>
        <v/>
      </c>
      <c r="U250" s="608" t="str">
        <f>IF(Účetní_závěrka!E84&lt;&gt;"",ABS(Účetní_závěrka!E84),"")</f>
        <v/>
      </c>
      <c r="V250" s="608" t="str">
        <f>IF(Účetní_závěrka!F84&lt;&gt;"",Účetní_závěrka!F84,"")</f>
        <v/>
      </c>
      <c r="W250" s="608" t="str">
        <f>IF(Účetní_závěrka!G84&lt;&gt;"",Účetní_závěrka!G84,"")</f>
        <v/>
      </c>
      <c r="Y250" s="605">
        <v>69</v>
      </c>
    </row>
    <row r="251" spans="18:49">
      <c r="R251" s="605">
        <f t="shared" si="17"/>
        <v>1</v>
      </c>
      <c r="S251" s="605">
        <f t="shared" si="14"/>
        <v>70</v>
      </c>
      <c r="T251" s="608" t="str">
        <f>IF(Účetní_závěrka!D85&lt;&gt;"",Účetní_závěrka!D85,"")</f>
        <v/>
      </c>
      <c r="U251" s="608" t="str">
        <f>IF(Účetní_závěrka!E85&lt;&gt;"",ABS(Účetní_závěrka!E85),"")</f>
        <v/>
      </c>
      <c r="V251" s="608" t="str">
        <f>IF(Účetní_závěrka!F85&lt;&gt;"",Účetní_závěrka!F85,"")</f>
        <v/>
      </c>
      <c r="W251" s="608" t="str">
        <f>IF(Účetní_závěrka!G85&lt;&gt;"",Účetní_závěrka!G85,"")</f>
        <v/>
      </c>
      <c r="Y251" s="605">
        <v>70</v>
      </c>
    </row>
    <row r="252" spans="18:49">
      <c r="R252" s="605">
        <f t="shared" si="17"/>
        <v>1</v>
      </c>
      <c r="S252" s="605">
        <f t="shared" si="14"/>
        <v>71</v>
      </c>
      <c r="T252" s="608" t="str">
        <f>IF(Účetní_závěrka!D86&lt;&gt;"",Účetní_závěrka!D86,"")</f>
        <v/>
      </c>
      <c r="U252" s="608" t="str">
        <f>IF(Účetní_závěrka!E86&lt;&gt;"",ABS(Účetní_závěrka!E86),"")</f>
        <v/>
      </c>
      <c r="V252" s="608" t="str">
        <f>IF(Účetní_závěrka!F86&lt;&gt;"",Účetní_závěrka!F86,"")</f>
        <v/>
      </c>
      <c r="W252" s="608" t="str">
        <f>IF(Účetní_závěrka!G86&lt;&gt;"",Účetní_závěrka!G86,"")</f>
        <v/>
      </c>
      <c r="Y252" s="605">
        <v>71</v>
      </c>
    </row>
    <row r="253" spans="18:49">
      <c r="R253" s="605">
        <f t="shared" si="17"/>
        <v>1</v>
      </c>
      <c r="S253" s="605">
        <f t="shared" si="14"/>
        <v>72</v>
      </c>
      <c r="T253" s="608" t="str">
        <f>IF(Účetní_závěrka!D87&lt;&gt;"",Účetní_závěrka!D87,"")</f>
        <v/>
      </c>
      <c r="U253" s="608" t="str">
        <f>IF(Účetní_závěrka!E87&lt;&gt;"",ABS(Účetní_závěrka!E87),"")</f>
        <v/>
      </c>
      <c r="V253" s="608" t="str">
        <f>IF(Účetní_závěrka!F87&lt;&gt;"",Účetní_závěrka!F87,"")</f>
        <v/>
      </c>
      <c r="W253" s="608" t="str">
        <f>IF(Účetní_závěrka!G87&lt;&gt;"",Účetní_závěrka!G87,"")</f>
        <v/>
      </c>
      <c r="Y253" s="605">
        <v>72</v>
      </c>
    </row>
    <row r="254" spans="18:49">
      <c r="R254" s="605">
        <f t="shared" si="17"/>
        <v>1</v>
      </c>
      <c r="S254" s="605">
        <f t="shared" si="14"/>
        <v>73</v>
      </c>
      <c r="T254" s="608" t="str">
        <f>IF(Účetní_závěrka!D88&lt;&gt;"",Účetní_závěrka!D88,"")</f>
        <v/>
      </c>
      <c r="U254" s="608" t="str">
        <f>IF(Účetní_závěrka!E88&lt;&gt;"",ABS(Účetní_závěrka!E88),"")</f>
        <v/>
      </c>
      <c r="V254" s="608" t="str">
        <f>IF(Účetní_závěrka!F88&lt;&gt;"",Účetní_závěrka!F88,"")</f>
        <v/>
      </c>
      <c r="W254" s="608" t="str">
        <f>IF(Účetní_závěrka!G88&lt;&gt;"",Účetní_závěrka!G88,"")</f>
        <v/>
      </c>
      <c r="Y254" s="605">
        <v>73</v>
      </c>
    </row>
    <row r="255" spans="18:49">
      <c r="R255" s="605">
        <f t="shared" ref="R255:R258" si="19">$Q$178</f>
        <v>1</v>
      </c>
      <c r="S255" s="605">
        <f t="shared" ref="S255:S258" si="20">IF($B$38="P",Y255,IF($B$38="Z",IF(Z255&lt;&gt;"",Z255,""),IF($B$38="M",IF(AA255&lt;&gt;"",AA255,""),Y255)))</f>
        <v>74</v>
      </c>
      <c r="T255" s="608" t="str">
        <f>IF(Účetní_závěrka!D89&lt;&gt;"",Účetní_závěrka!D89,"")</f>
        <v/>
      </c>
      <c r="U255" s="608" t="str">
        <f>IF(Účetní_závěrka!E89&lt;&gt;"",ABS(Účetní_závěrka!E89),"")</f>
        <v/>
      </c>
      <c r="V255" s="608" t="str">
        <f>IF(Účetní_závěrka!F89&lt;&gt;"",Účetní_závěrka!F89,"")</f>
        <v/>
      </c>
      <c r="W255" s="608" t="str">
        <f>IF(Účetní_závěrka!G89&lt;&gt;"",Účetní_závěrka!G89,"")</f>
        <v/>
      </c>
      <c r="Y255" s="605">
        <v>74</v>
      </c>
    </row>
    <row r="256" spans="18:49">
      <c r="R256" s="605">
        <f t="shared" si="19"/>
        <v>1</v>
      </c>
      <c r="S256" s="605">
        <f t="shared" si="20"/>
        <v>75</v>
      </c>
      <c r="T256" s="608" t="str">
        <f>IF(Účetní_závěrka!D90&lt;&gt;"",Účetní_závěrka!D90,"")</f>
        <v/>
      </c>
      <c r="U256" s="608" t="str">
        <f>IF(Účetní_závěrka!E90&lt;&gt;"",ABS(Účetní_závěrka!E90),"")</f>
        <v/>
      </c>
      <c r="V256" s="608" t="str">
        <f>IF(Účetní_závěrka!F90&lt;&gt;"",Účetní_závěrka!F90,"")</f>
        <v/>
      </c>
      <c r="W256" s="608" t="str">
        <f>IF(Účetní_závěrka!G90&lt;&gt;"",Účetní_závěrka!G90,"")</f>
        <v/>
      </c>
      <c r="Y256" s="605">
        <v>75</v>
      </c>
    </row>
    <row r="257" spans="17:25">
      <c r="R257" s="605">
        <f t="shared" si="19"/>
        <v>1</v>
      </c>
      <c r="S257" s="605">
        <f t="shared" si="20"/>
        <v>76</v>
      </c>
      <c r="T257" s="608" t="str">
        <f>IF(Účetní_závěrka!D91&lt;&gt;"",Účetní_závěrka!D91,"")</f>
        <v/>
      </c>
      <c r="U257" s="608" t="str">
        <f>IF(Účetní_závěrka!E91&lt;&gt;"",ABS(Účetní_závěrka!E91),"")</f>
        <v/>
      </c>
      <c r="V257" s="608" t="str">
        <f>IF(Účetní_závěrka!F91&lt;&gt;"",Účetní_závěrka!F91,"")</f>
        <v/>
      </c>
      <c r="W257" s="608" t="str">
        <f>IF(Účetní_závěrka!G91&lt;&gt;"",Účetní_závěrka!G91,"")</f>
        <v/>
      </c>
      <c r="Y257" s="605">
        <v>76</v>
      </c>
    </row>
    <row r="258" spans="17:25">
      <c r="R258" s="605">
        <f t="shared" si="19"/>
        <v>1</v>
      </c>
      <c r="S258" s="605">
        <f t="shared" si="20"/>
        <v>77</v>
      </c>
      <c r="T258" s="608" t="str">
        <f>IF(Účetní_závěrka!D92&lt;&gt;"",Účetní_závěrka!D92,"")</f>
        <v/>
      </c>
      <c r="U258" s="608" t="str">
        <f>IF(Účetní_závěrka!E92&lt;&gt;"",ABS(Účetní_závěrka!E92),"")</f>
        <v/>
      </c>
      <c r="V258" s="608" t="str">
        <f>IF(Účetní_závěrka!F92&lt;&gt;"",Účetní_závěrka!F92,"")</f>
        <v/>
      </c>
      <c r="W258" s="608" t="str">
        <f>IF(Účetní_závěrka!G92&lt;&gt;"",Účetní_závěrka!G92,"")</f>
        <v/>
      </c>
      <c r="Y258" s="605">
        <v>77</v>
      </c>
    </row>
    <row r="271" spans="17:25">
      <c r="Q271" s="605" t="s">
        <v>689</v>
      </c>
      <c r="R271" s="606" t="s">
        <v>679</v>
      </c>
      <c r="S271" s="606" t="s">
        <v>680</v>
      </c>
      <c r="T271" s="606" t="s">
        <v>681</v>
      </c>
      <c r="U271" s="606" t="s">
        <v>682</v>
      </c>
      <c r="V271" s="606" t="s">
        <v>683</v>
      </c>
      <c r="W271" s="606" t="s">
        <v>684</v>
      </c>
      <c r="X271" s="606" t="s">
        <v>691</v>
      </c>
    </row>
    <row r="272" spans="17:25">
      <c r="X272" s="607"/>
    </row>
    <row r="281" spans="17:22">
      <c r="Q281" s="605" t="s">
        <v>690</v>
      </c>
      <c r="R281" s="606" t="s">
        <v>679</v>
      </c>
      <c r="S281" s="606" t="s">
        <v>680</v>
      </c>
      <c r="T281" s="606" t="s">
        <v>685</v>
      </c>
      <c r="U281" s="606" t="s">
        <v>686</v>
      </c>
      <c r="V281" s="606" t="s">
        <v>691</v>
      </c>
    </row>
    <row r="282" spans="17:22">
      <c r="V282" s="607"/>
    </row>
    <row r="291" spans="17:21">
      <c r="Q291" s="605" t="s">
        <v>696</v>
      </c>
      <c r="R291" s="606" t="s">
        <v>692</v>
      </c>
      <c r="S291" s="606" t="s">
        <v>693</v>
      </c>
      <c r="T291" s="606" t="s">
        <v>694</v>
      </c>
      <c r="U291" s="618" t="s">
        <v>695</v>
      </c>
    </row>
    <row r="292" spans="17:21">
      <c r="R292" s="605" t="str">
        <f>IF('2Př'!C30&lt;&gt;"",MID('2Př'!C30,FIND("-",'2Př'!C30,1)+1,FIND("/",'2Př'!C30,1)-FIND("-",'2Př'!C30,1)-1),"")</f>
        <v/>
      </c>
      <c r="S292" s="605" t="str">
        <f>IF('2Př'!C30&lt;&gt;"",MID('2Př'!C30,FIND("-",'2Př'!C30,3)+1,LEN('2Př'!C30)-FIND("-",'2Př'!C30,3)),"")</f>
        <v/>
      </c>
      <c r="T292" s="605" t="str">
        <f>IF('2Př'!C30&lt;&gt;"",MID('2Př'!C30,FIND("/",'2Př'!C30,1)+1,4),"")</f>
        <v/>
      </c>
      <c r="U292" s="607" t="str">
        <f>IF('2Př'!C30&lt;&gt;"",LEFT('2Př'!C30,1),"")</f>
        <v/>
      </c>
    </row>
    <row r="294" spans="17:21">
      <c r="R294" s="605" t="s">
        <v>2215</v>
      </c>
      <c r="S294" s="605" t="s">
        <v>2215</v>
      </c>
      <c r="T294" s="605" t="s">
        <v>2215</v>
      </c>
      <c r="U294" s="605" t="s">
        <v>2215</v>
      </c>
    </row>
    <row r="301" spans="17:21">
      <c r="Q301" s="605" t="s">
        <v>697</v>
      </c>
      <c r="R301" s="617" t="s">
        <v>698</v>
      </c>
      <c r="S301" s="617" t="s">
        <v>699</v>
      </c>
      <c r="T301" s="617" t="s">
        <v>700</v>
      </c>
      <c r="U301" s="617" t="s">
        <v>701</v>
      </c>
    </row>
    <row r="302" spans="17:21">
      <c r="S302" s="607"/>
      <c r="T302" s="607"/>
      <c r="U302" s="607"/>
    </row>
    <row r="311" spans="17:22">
      <c r="Q311" s="605" t="s">
        <v>702</v>
      </c>
      <c r="R311" s="605" t="s">
        <v>698</v>
      </c>
      <c r="S311" s="605" t="s">
        <v>699</v>
      </c>
      <c r="T311" s="605" t="s">
        <v>700</v>
      </c>
      <c r="U311" s="605" t="s">
        <v>701</v>
      </c>
      <c r="V311" s="605" t="s">
        <v>703</v>
      </c>
    </row>
    <row r="312" spans="17:22">
      <c r="S312" s="607"/>
      <c r="T312" s="607"/>
      <c r="U312" s="607"/>
      <c r="V312" s="607"/>
    </row>
  </sheetData>
  <sheetProtection algorithmName="SHA-512" hashValue="sKNdNwT0crvrjgKcudt5F3Q/A8dfyeg0Qb7DxnCUuFHS8ikULSrZVC+NxJdLncYTef51UbgEHtBrnudctMqXaw==" saltValue="HR4v80/4+UH4CfpUSMDXeg==" spinCount="100000" sheet="1" objects="1" scenarios="1"/>
  <pageMargins left="0.7" right="0.7" top="0.78740157499999996" bottom="0.78740157499999996" header="0.3" footer="0.3"/>
  <pageSetup paperSize="9" orientation="portrait" r:id="rId1"/>
  <tableParts count="2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tabColor theme="0"/>
    <pageSetUpPr fitToPage="1"/>
  </sheetPr>
  <dimension ref="A1:BU601"/>
  <sheetViews>
    <sheetView workbookViewId="0">
      <selection activeCell="D2" sqref="D2:E3"/>
    </sheetView>
  </sheetViews>
  <sheetFormatPr defaultColWidth="9.140625" defaultRowHeight="12.75"/>
  <cols>
    <col min="1" max="1" width="4.42578125" style="314" bestFit="1" customWidth="1"/>
    <col min="2" max="2" width="10" style="314" customWidth="1"/>
    <col min="3" max="3" width="36.140625" style="314" customWidth="1"/>
    <col min="4" max="11" width="7.7109375" style="314" customWidth="1"/>
    <col min="12" max="73" width="9.140625" style="534"/>
    <col min="74" max="16384" width="9.140625" style="314"/>
  </cols>
  <sheetData>
    <row r="1" spans="1:73" ht="30" customHeight="1" thickBot="1">
      <c r="A1" s="1591" t="s">
        <v>2615</v>
      </c>
      <c r="B1" s="1591"/>
      <c r="C1" s="1592"/>
      <c r="D1" s="1592"/>
      <c r="E1" s="1592"/>
      <c r="F1" s="1592"/>
      <c r="G1" s="1592"/>
      <c r="H1" s="1592"/>
      <c r="I1" s="1592"/>
      <c r="J1" s="1592"/>
      <c r="K1" s="1592"/>
    </row>
    <row r="2" spans="1:73" ht="22.5" customHeight="1">
      <c r="A2" s="1593"/>
      <c r="B2" s="1596" t="s">
        <v>2255</v>
      </c>
      <c r="C2" s="1597"/>
      <c r="D2" s="1596" t="s">
        <v>136</v>
      </c>
      <c r="E2" s="1600"/>
      <c r="F2" s="1601" t="s">
        <v>2253</v>
      </c>
      <c r="G2" s="1602"/>
      <c r="H2" s="1601" t="s">
        <v>2254</v>
      </c>
      <c r="I2" s="1602"/>
      <c r="J2" s="1601" t="s">
        <v>2325</v>
      </c>
      <c r="K2" s="1603"/>
      <c r="BQ2" s="314"/>
      <c r="BR2" s="314"/>
      <c r="BS2" s="314"/>
      <c r="BT2" s="314"/>
      <c r="BU2" s="314"/>
    </row>
    <row r="3" spans="1:73" ht="21.95" customHeight="1">
      <c r="A3" s="1594"/>
      <c r="B3" s="1598"/>
      <c r="C3" s="1599"/>
      <c r="D3" s="1598"/>
      <c r="E3" s="1599"/>
      <c r="F3" s="574" t="s">
        <v>2323</v>
      </c>
      <c r="G3" s="574" t="s">
        <v>2324</v>
      </c>
      <c r="H3" s="574" t="s">
        <v>2323</v>
      </c>
      <c r="I3" s="574" t="s">
        <v>2324</v>
      </c>
      <c r="J3" s="574" t="s">
        <v>2323</v>
      </c>
      <c r="K3" s="575" t="s">
        <v>2324</v>
      </c>
      <c r="BQ3" s="314"/>
      <c r="BR3" s="314"/>
      <c r="BS3" s="314"/>
      <c r="BT3" s="314"/>
      <c r="BU3" s="314"/>
    </row>
    <row r="4" spans="1:73" ht="12" customHeight="1">
      <c r="A4" s="1595"/>
      <c r="B4" s="1604">
        <v>1</v>
      </c>
      <c r="C4" s="1605"/>
      <c r="D4" s="1604">
        <v>2</v>
      </c>
      <c r="E4" s="1604"/>
      <c r="F4" s="1606">
        <v>3</v>
      </c>
      <c r="G4" s="1607"/>
      <c r="H4" s="1606">
        <v>4</v>
      </c>
      <c r="I4" s="1607"/>
      <c r="J4" s="1606">
        <v>5</v>
      </c>
      <c r="K4" s="1608"/>
      <c r="BQ4" s="314"/>
      <c r="BR4" s="314"/>
      <c r="BS4" s="314"/>
      <c r="BT4" s="314"/>
      <c r="BU4" s="314"/>
    </row>
    <row r="5" spans="1:73" ht="18" customHeight="1">
      <c r="A5" s="576">
        <v>5</v>
      </c>
      <c r="B5" s="1584" t="s">
        <v>130</v>
      </c>
      <c r="C5" s="1585"/>
      <c r="D5" s="1586"/>
      <c r="E5" s="1590"/>
      <c r="F5" s="577"/>
      <c r="G5" s="577"/>
      <c r="H5" s="577"/>
      <c r="I5" s="577"/>
      <c r="J5" s="578"/>
      <c r="K5" s="579"/>
      <c r="BQ5" s="314"/>
      <c r="BR5" s="314"/>
      <c r="BS5" s="314"/>
      <c r="BT5" s="314"/>
      <c r="BU5" s="314"/>
    </row>
    <row r="6" spans="1:73" ht="18" customHeight="1">
      <c r="A6" s="576">
        <v>6</v>
      </c>
      <c r="B6" s="1584" t="s">
        <v>130</v>
      </c>
      <c r="C6" s="1585"/>
      <c r="D6" s="1586"/>
      <c r="E6" s="1586"/>
      <c r="F6" s="577"/>
      <c r="G6" s="577"/>
      <c r="H6" s="577"/>
      <c r="I6" s="577"/>
      <c r="J6" s="578"/>
      <c r="K6" s="579"/>
      <c r="BQ6" s="314"/>
      <c r="BR6" s="314"/>
      <c r="BS6" s="314"/>
      <c r="BT6" s="314"/>
      <c r="BU6" s="314"/>
    </row>
    <row r="7" spans="1:73" ht="18" customHeight="1">
      <c r="A7" s="576">
        <v>7</v>
      </c>
      <c r="B7" s="1584" t="s">
        <v>130</v>
      </c>
      <c r="C7" s="1585"/>
      <c r="D7" s="1586"/>
      <c r="E7" s="1586"/>
      <c r="F7" s="577"/>
      <c r="G7" s="577"/>
      <c r="H7" s="577"/>
      <c r="I7" s="577"/>
      <c r="J7" s="578"/>
      <c r="K7" s="579"/>
      <c r="BQ7" s="314"/>
      <c r="BR7" s="314"/>
      <c r="BS7" s="314"/>
      <c r="BT7" s="314"/>
      <c r="BU7" s="314"/>
    </row>
    <row r="8" spans="1:73" ht="18" customHeight="1">
      <c r="A8" s="576">
        <v>8</v>
      </c>
      <c r="B8" s="1584" t="s">
        <v>130</v>
      </c>
      <c r="C8" s="1585"/>
      <c r="D8" s="1586"/>
      <c r="E8" s="1586"/>
      <c r="F8" s="577"/>
      <c r="G8" s="577"/>
      <c r="H8" s="577"/>
      <c r="I8" s="577"/>
      <c r="J8" s="578"/>
      <c r="K8" s="579"/>
      <c r="BQ8" s="314"/>
      <c r="BR8" s="314"/>
      <c r="BS8" s="314"/>
      <c r="BT8" s="314"/>
      <c r="BU8" s="314"/>
    </row>
    <row r="9" spans="1:73" ht="18" customHeight="1">
      <c r="A9" s="576">
        <v>9</v>
      </c>
      <c r="B9" s="1584" t="s">
        <v>130</v>
      </c>
      <c r="C9" s="1585"/>
      <c r="D9" s="1586"/>
      <c r="E9" s="1586"/>
      <c r="F9" s="577"/>
      <c r="G9" s="577"/>
      <c r="H9" s="577"/>
      <c r="I9" s="577"/>
      <c r="J9" s="578"/>
      <c r="K9" s="579"/>
      <c r="BQ9" s="314"/>
      <c r="BR9" s="314"/>
      <c r="BS9" s="314"/>
      <c r="BT9" s="314"/>
      <c r="BU9" s="314"/>
    </row>
    <row r="10" spans="1:73" ht="18" customHeight="1">
      <c r="A10" s="576">
        <v>10</v>
      </c>
      <c r="B10" s="1584" t="s">
        <v>130</v>
      </c>
      <c r="C10" s="1585"/>
      <c r="D10" s="1586"/>
      <c r="E10" s="1586"/>
      <c r="F10" s="577"/>
      <c r="G10" s="577"/>
      <c r="H10" s="577"/>
      <c r="I10" s="577"/>
      <c r="J10" s="578"/>
      <c r="K10" s="579"/>
      <c r="BQ10" s="314"/>
      <c r="BR10" s="314"/>
      <c r="BS10" s="314"/>
      <c r="BT10" s="314"/>
      <c r="BU10" s="314"/>
    </row>
    <row r="11" spans="1:73" ht="18" customHeight="1">
      <c r="A11" s="576">
        <v>11</v>
      </c>
      <c r="B11" s="1584" t="s">
        <v>130</v>
      </c>
      <c r="C11" s="1585"/>
      <c r="D11" s="1586"/>
      <c r="E11" s="1586"/>
      <c r="F11" s="577"/>
      <c r="G11" s="577"/>
      <c r="H11" s="577"/>
      <c r="I11" s="577"/>
      <c r="J11" s="578"/>
      <c r="K11" s="579"/>
      <c r="BQ11" s="314"/>
      <c r="BR11" s="314"/>
      <c r="BS11" s="314"/>
      <c r="BT11" s="314"/>
      <c r="BU11" s="314"/>
    </row>
    <row r="12" spans="1:73" ht="18" customHeight="1">
      <c r="A12" s="576">
        <v>12</v>
      </c>
      <c r="B12" s="1584" t="s">
        <v>130</v>
      </c>
      <c r="C12" s="1585"/>
      <c r="D12" s="1586"/>
      <c r="E12" s="1586"/>
      <c r="F12" s="577"/>
      <c r="G12" s="577"/>
      <c r="H12" s="577"/>
      <c r="I12" s="577"/>
      <c r="J12" s="578"/>
      <c r="K12" s="579"/>
      <c r="BQ12" s="314"/>
      <c r="BR12" s="314"/>
      <c r="BS12" s="314"/>
      <c r="BT12" s="314"/>
      <c r="BU12" s="314"/>
    </row>
    <row r="13" spans="1:73" ht="15.95" customHeight="1" thickBot="1">
      <c r="A13" s="580"/>
      <c r="B13" s="1587" t="s">
        <v>55</v>
      </c>
      <c r="C13" s="1588"/>
      <c r="D13" s="1589"/>
      <c r="E13" s="1589"/>
      <c r="F13" s="581">
        <f t="shared" ref="F13:K13" si="0">+SUM(F5:F12)</f>
        <v>0</v>
      </c>
      <c r="G13" s="581">
        <f t="shared" si="0"/>
        <v>0</v>
      </c>
      <c r="H13" s="581">
        <f t="shared" si="0"/>
        <v>0</v>
      </c>
      <c r="I13" s="581">
        <f t="shared" si="0"/>
        <v>0</v>
      </c>
      <c r="J13" s="581">
        <f t="shared" si="0"/>
        <v>0</v>
      </c>
      <c r="K13" s="582">
        <f t="shared" si="0"/>
        <v>0</v>
      </c>
      <c r="BU13" s="314"/>
    </row>
    <row r="14" spans="1:73" s="534" customFormat="1" ht="99.95" customHeight="1">
      <c r="A14" s="1581"/>
      <c r="B14" s="1581"/>
      <c r="C14" s="1582"/>
      <c r="D14" s="1582"/>
      <c r="E14" s="1582"/>
      <c r="F14" s="1582"/>
      <c r="G14" s="1582"/>
      <c r="H14" s="1582"/>
      <c r="I14" s="1582"/>
      <c r="J14" s="1582"/>
      <c r="K14" s="1582"/>
    </row>
    <row r="15" spans="1:73" s="534" customFormat="1" ht="99.95" customHeight="1">
      <c r="A15" s="1583"/>
      <c r="B15" s="1583"/>
      <c r="C15" s="1583"/>
      <c r="D15" s="1583"/>
      <c r="E15" s="1583"/>
      <c r="F15" s="1583"/>
      <c r="G15" s="1583"/>
      <c r="H15" s="1583"/>
      <c r="I15" s="1583"/>
      <c r="J15" s="1583"/>
      <c r="K15" s="1583"/>
    </row>
    <row r="16" spans="1:73" s="534" customFormat="1"/>
    <row r="17" s="534" customFormat="1"/>
    <row r="18" s="534" customFormat="1"/>
    <row r="19" s="534" customFormat="1"/>
    <row r="20" s="534" customFormat="1"/>
    <row r="21" s="534" customFormat="1"/>
    <row r="22" s="534" customFormat="1"/>
    <row r="23" s="534" customFormat="1"/>
    <row r="24" s="534" customFormat="1"/>
    <row r="25" s="534" customFormat="1"/>
    <row r="26" s="534" customFormat="1"/>
    <row r="27" s="534" customFormat="1"/>
    <row r="28" s="534" customFormat="1"/>
    <row r="29" s="534" customFormat="1"/>
    <row r="30" s="534" customFormat="1"/>
    <row r="31" s="534" customFormat="1"/>
    <row r="32" s="534" customFormat="1"/>
    <row r="33" s="534" customFormat="1"/>
    <row r="34" s="534" customFormat="1"/>
    <row r="35" s="534" customFormat="1"/>
    <row r="36" s="534" customFormat="1"/>
    <row r="37" s="534" customFormat="1"/>
    <row r="38" s="534" customFormat="1"/>
    <row r="39" s="534" customFormat="1"/>
    <row r="40" s="534" customFormat="1"/>
    <row r="41" s="534" customFormat="1"/>
    <row r="42" s="534" customFormat="1"/>
    <row r="43" s="534" customFormat="1"/>
    <row r="44" s="534" customFormat="1"/>
    <row r="45" s="534" customFormat="1"/>
    <row r="46" s="534" customFormat="1"/>
    <row r="47" s="534" customFormat="1"/>
    <row r="48" s="534" customFormat="1"/>
    <row r="49" s="534" customFormat="1"/>
    <row r="50" s="534" customFormat="1"/>
    <row r="51" s="534" customFormat="1"/>
    <row r="52" s="534" customFormat="1"/>
    <row r="53" s="534" customFormat="1"/>
    <row r="54" s="534" customFormat="1"/>
    <row r="55" s="534" customFormat="1"/>
    <row r="56" s="534" customFormat="1"/>
    <row r="57" s="534" customFormat="1"/>
    <row r="58" s="534" customFormat="1"/>
    <row r="59" s="534" customFormat="1"/>
    <row r="60" s="534" customFormat="1"/>
    <row r="61" s="534" customFormat="1"/>
    <row r="62" s="534" customFormat="1"/>
    <row r="63" s="534" customFormat="1"/>
    <row r="64" s="534" customFormat="1"/>
    <row r="65" s="534" customFormat="1"/>
    <row r="66" s="534" customFormat="1"/>
    <row r="67" s="534" customFormat="1"/>
    <row r="68" s="534" customFormat="1"/>
    <row r="69" s="534" customFormat="1"/>
    <row r="70" s="534" customFormat="1"/>
    <row r="71" s="534" customFormat="1"/>
    <row r="72" s="534" customFormat="1"/>
    <row r="73" s="534" customFormat="1"/>
    <row r="74" s="534" customFormat="1"/>
    <row r="75" s="534" customFormat="1"/>
    <row r="76" s="534" customFormat="1"/>
    <row r="77" s="534" customFormat="1"/>
    <row r="78" s="534" customFormat="1"/>
    <row r="79" s="534" customFormat="1"/>
    <row r="80" s="534" customFormat="1"/>
    <row r="81" s="534" customFormat="1"/>
    <row r="82" s="534" customFormat="1"/>
    <row r="83" s="534" customFormat="1"/>
    <row r="84" s="534" customFormat="1"/>
    <row r="85" s="534" customFormat="1"/>
    <row r="86" s="534" customFormat="1"/>
    <row r="87" s="534" customFormat="1"/>
    <row r="88" s="534" customFormat="1"/>
    <row r="89" s="534" customFormat="1"/>
    <row r="90" s="534" customFormat="1"/>
    <row r="91" s="534" customFormat="1"/>
    <row r="92" s="534" customFormat="1"/>
    <row r="93" s="534" customFormat="1"/>
    <row r="94" s="534" customFormat="1"/>
    <row r="95" s="534" customFormat="1"/>
    <row r="96" s="534" customFormat="1"/>
    <row r="97" s="534" customFormat="1"/>
    <row r="98" s="534" customFormat="1"/>
    <row r="99" s="534" customFormat="1"/>
    <row r="100" s="534" customFormat="1"/>
    <row r="101" s="534" customFormat="1"/>
    <row r="102" s="534" customFormat="1"/>
    <row r="103" s="534" customFormat="1"/>
    <row r="104" s="534" customFormat="1"/>
    <row r="105" s="534" customFormat="1"/>
    <row r="106" s="534" customFormat="1"/>
    <row r="107" s="534" customFormat="1"/>
    <row r="108" s="534" customFormat="1"/>
    <row r="109" s="534" customFormat="1"/>
    <row r="110" s="534" customFormat="1"/>
    <row r="111" s="534" customFormat="1"/>
    <row r="112" s="534" customFormat="1"/>
    <row r="113" s="534" customFormat="1"/>
    <row r="114" s="534" customFormat="1"/>
    <row r="115" s="534" customFormat="1"/>
    <row r="116" s="534" customFormat="1"/>
    <row r="117" s="534" customFormat="1"/>
    <row r="118" s="534" customFormat="1"/>
    <row r="119" s="534" customFormat="1"/>
    <row r="120" s="534" customFormat="1"/>
    <row r="121" s="534" customFormat="1"/>
    <row r="122" s="534" customFormat="1"/>
    <row r="123" s="534" customFormat="1"/>
    <row r="124" s="534" customFormat="1"/>
    <row r="125" s="534" customFormat="1"/>
    <row r="126" s="534" customFormat="1"/>
    <row r="127" s="534" customFormat="1"/>
    <row r="128" s="534" customFormat="1"/>
    <row r="129" s="534" customFormat="1"/>
    <row r="130" s="534" customFormat="1"/>
    <row r="131" s="534" customFormat="1"/>
    <row r="132" s="534" customFormat="1"/>
    <row r="133" s="534" customFormat="1"/>
    <row r="134" s="534" customFormat="1"/>
    <row r="135" s="534" customFormat="1"/>
    <row r="136" s="534" customFormat="1"/>
    <row r="137" s="534" customFormat="1"/>
    <row r="138" s="534" customFormat="1"/>
    <row r="139" s="534" customFormat="1"/>
    <row r="140" s="534" customFormat="1"/>
    <row r="141" s="534" customFormat="1"/>
    <row r="142" s="534" customFormat="1"/>
    <row r="143" s="534" customFormat="1"/>
    <row r="144" s="534" customFormat="1"/>
    <row r="145" s="534" customFormat="1"/>
    <row r="146" s="534" customFormat="1"/>
    <row r="147" s="534" customFormat="1"/>
    <row r="148" s="534" customFormat="1"/>
    <row r="149" s="534" customFormat="1"/>
    <row r="150" s="534" customFormat="1"/>
    <row r="151" s="534" customFormat="1"/>
    <row r="152" s="534" customFormat="1"/>
    <row r="153" s="534" customFormat="1"/>
    <row r="154" s="534" customFormat="1"/>
    <row r="155" s="534" customFormat="1"/>
    <row r="156" s="534" customFormat="1"/>
    <row r="157" s="534" customFormat="1"/>
    <row r="158" s="534" customFormat="1"/>
    <row r="159" s="534" customFormat="1"/>
    <row r="160" s="534" customFormat="1"/>
    <row r="161" s="534" customFormat="1"/>
    <row r="162" s="534" customFormat="1"/>
    <row r="163" s="534" customFormat="1"/>
    <row r="164" s="534" customFormat="1"/>
    <row r="165" s="534" customFormat="1"/>
    <row r="166" s="534" customFormat="1"/>
    <row r="167" s="534" customFormat="1"/>
    <row r="168" s="534" customFormat="1"/>
    <row r="169" s="534" customFormat="1"/>
    <row r="170" s="534" customFormat="1"/>
    <row r="171" s="534" customFormat="1"/>
    <row r="172" s="534" customFormat="1"/>
    <row r="173" s="534" customFormat="1"/>
    <row r="174" s="534" customFormat="1"/>
    <row r="175" s="534" customFormat="1"/>
    <row r="176" s="534" customFormat="1"/>
    <row r="177" s="534" customFormat="1"/>
    <row r="178" s="534" customFormat="1"/>
    <row r="179" s="534" customFormat="1"/>
    <row r="180" s="534" customFormat="1"/>
    <row r="181" s="534" customFormat="1"/>
    <row r="182" s="534" customFormat="1"/>
    <row r="183" s="534" customFormat="1"/>
    <row r="184" s="534" customFormat="1"/>
    <row r="185" s="534" customFormat="1"/>
    <row r="186" s="534" customFormat="1"/>
    <row r="187" s="534" customFormat="1"/>
    <row r="188" s="534" customFormat="1"/>
    <row r="189" s="534" customFormat="1"/>
    <row r="190" s="534" customFormat="1"/>
    <row r="191" s="534" customFormat="1"/>
    <row r="192" s="534" customFormat="1"/>
    <row r="193" s="534" customFormat="1"/>
    <row r="194" s="534" customFormat="1"/>
    <row r="195" s="534" customFormat="1"/>
    <row r="196" s="534" customFormat="1"/>
    <row r="197" s="534" customFormat="1"/>
    <row r="198" s="534" customFormat="1"/>
    <row r="199" s="534" customFormat="1"/>
    <row r="200" s="534" customFormat="1"/>
    <row r="201" s="534" customFormat="1"/>
    <row r="202" s="534" customFormat="1"/>
    <row r="203" s="534" customFormat="1"/>
    <row r="204" s="534" customFormat="1"/>
    <row r="205" s="534" customFormat="1"/>
    <row r="206" s="534" customFormat="1"/>
    <row r="207" s="534" customFormat="1"/>
    <row r="208" s="534" customFormat="1"/>
    <row r="209" s="534" customFormat="1"/>
    <row r="210" s="534" customFormat="1"/>
    <row r="211" s="534" customFormat="1"/>
    <row r="212" s="534" customFormat="1"/>
    <row r="213" s="534" customFormat="1"/>
    <row r="214" s="534" customFormat="1"/>
    <row r="215" s="534" customFormat="1"/>
    <row r="216" s="534" customFormat="1"/>
    <row r="217" s="534" customFormat="1"/>
    <row r="218" s="534" customFormat="1"/>
    <row r="219" s="534" customFormat="1"/>
    <row r="220" s="534" customFormat="1"/>
    <row r="221" s="534" customFormat="1"/>
    <row r="222" s="534" customFormat="1"/>
    <row r="223" s="534" customFormat="1"/>
    <row r="224" s="534" customFormat="1"/>
    <row r="225" s="534" customFormat="1"/>
    <row r="226" s="534" customFormat="1"/>
    <row r="227" s="534" customFormat="1"/>
    <row r="228" s="534" customFormat="1"/>
    <row r="229" s="534" customFormat="1"/>
    <row r="230" s="534" customFormat="1"/>
    <row r="231" s="534" customFormat="1"/>
    <row r="232" s="534" customFormat="1"/>
    <row r="233" s="534" customFormat="1"/>
    <row r="234" s="534" customFormat="1"/>
    <row r="235" s="534" customFormat="1"/>
    <row r="236" s="534" customFormat="1"/>
    <row r="237" s="534" customFormat="1"/>
    <row r="238" s="534" customFormat="1"/>
    <row r="239" s="534" customFormat="1"/>
    <row r="240" s="534" customFormat="1"/>
    <row r="241" s="534" customFormat="1"/>
    <row r="242" s="534" customFormat="1"/>
    <row r="243" s="534" customFormat="1"/>
    <row r="244" s="534" customFormat="1"/>
    <row r="245" s="534" customFormat="1"/>
    <row r="246" s="534" customFormat="1"/>
    <row r="247" s="534" customFormat="1"/>
    <row r="248" s="534" customFormat="1"/>
    <row r="249" s="534" customFormat="1"/>
    <row r="250" s="534" customFormat="1"/>
    <row r="251" s="534" customFormat="1"/>
    <row r="252" s="534" customFormat="1"/>
    <row r="253" s="534" customFormat="1"/>
    <row r="254" s="534" customFormat="1"/>
    <row r="255" s="534" customFormat="1"/>
    <row r="256" s="534" customFormat="1"/>
    <row r="257" s="534" customFormat="1"/>
    <row r="258" s="534" customFormat="1"/>
    <row r="259" s="534" customFormat="1"/>
    <row r="260" s="534" customFormat="1"/>
    <row r="261" s="534" customFormat="1"/>
    <row r="262" s="534" customFormat="1"/>
    <row r="263" s="534" customFormat="1"/>
    <row r="264" s="534" customFormat="1"/>
    <row r="265" s="534" customFormat="1"/>
    <row r="266" s="534" customFormat="1"/>
    <row r="267" s="534" customFormat="1"/>
    <row r="268" s="534" customFormat="1"/>
    <row r="269" s="534" customFormat="1"/>
    <row r="270" s="534" customFormat="1"/>
    <row r="271" s="534" customFormat="1"/>
    <row r="272" s="534" customFormat="1"/>
    <row r="273" s="534" customFormat="1"/>
    <row r="274" s="534" customFormat="1"/>
    <row r="275" s="534" customFormat="1"/>
    <row r="276" s="534" customFormat="1"/>
    <row r="277" s="534" customFormat="1"/>
    <row r="278" s="534" customFormat="1"/>
    <row r="279" s="534" customFormat="1"/>
    <row r="280" s="534" customFormat="1"/>
    <row r="281" s="534" customFormat="1"/>
    <row r="282" s="534" customFormat="1"/>
    <row r="283" s="534" customFormat="1"/>
    <row r="284" s="534" customFormat="1"/>
    <row r="285" s="534" customFormat="1"/>
    <row r="286" s="534" customFormat="1"/>
    <row r="287" s="534" customFormat="1"/>
    <row r="288" s="534" customFormat="1"/>
    <row r="289" s="534" customFormat="1"/>
    <row r="290" s="534" customFormat="1"/>
    <row r="291" s="534" customFormat="1"/>
    <row r="292" s="534" customFormat="1"/>
    <row r="293" s="534" customFormat="1"/>
    <row r="294" s="534" customFormat="1"/>
    <row r="295" s="534" customFormat="1"/>
    <row r="296" s="534" customFormat="1"/>
    <row r="297" s="534" customFormat="1"/>
    <row r="298" s="534" customFormat="1"/>
    <row r="299" s="534" customFormat="1"/>
    <row r="300" s="534" customFormat="1"/>
    <row r="301" s="534" customFormat="1"/>
    <row r="302" s="534" customFormat="1"/>
    <row r="303" s="534" customFormat="1"/>
    <row r="304" s="534" customFormat="1"/>
    <row r="305" s="534" customFormat="1"/>
    <row r="306" s="534" customFormat="1"/>
    <row r="307" s="534" customFormat="1"/>
    <row r="308" s="534" customFormat="1"/>
    <row r="309" s="534" customFormat="1"/>
    <row r="310" s="534" customFormat="1"/>
    <row r="311" s="534" customFormat="1"/>
    <row r="312" s="534" customFormat="1"/>
    <row r="313" s="534" customFormat="1"/>
    <row r="314" s="534" customFormat="1"/>
    <row r="315" s="534" customFormat="1"/>
    <row r="316" s="534" customFormat="1"/>
    <row r="317" s="534" customFormat="1"/>
    <row r="318" s="534" customFormat="1"/>
    <row r="319" s="534" customFormat="1"/>
    <row r="320" s="534" customFormat="1"/>
    <row r="321" s="534" customFormat="1"/>
    <row r="322" s="534" customFormat="1"/>
    <row r="323" s="534" customFormat="1"/>
    <row r="324" s="534" customFormat="1"/>
    <row r="325" s="534" customFormat="1"/>
    <row r="326" s="534" customFormat="1"/>
    <row r="327" s="534" customFormat="1"/>
    <row r="328" s="534" customFormat="1"/>
    <row r="329" s="534" customFormat="1"/>
    <row r="330" s="534" customFormat="1"/>
    <row r="331" s="534" customFormat="1"/>
    <row r="332" s="534" customFormat="1"/>
    <row r="333" s="534" customFormat="1"/>
    <row r="334" s="534" customFormat="1"/>
    <row r="335" s="534" customFormat="1"/>
    <row r="336" s="534" customFormat="1"/>
    <row r="337" s="534" customFormat="1"/>
    <row r="338" s="534" customFormat="1"/>
    <row r="339" s="534" customFormat="1"/>
    <row r="340" s="534" customFormat="1"/>
    <row r="341" s="534" customFormat="1"/>
    <row r="342" s="534" customFormat="1"/>
    <row r="343" s="534" customFormat="1"/>
    <row r="344" s="534" customFormat="1"/>
    <row r="345" s="534" customFormat="1"/>
    <row r="346" s="534" customFormat="1"/>
    <row r="347" s="534" customFormat="1"/>
    <row r="348" s="534" customFormat="1"/>
    <row r="349" s="534" customFormat="1"/>
    <row r="350" s="534" customFormat="1"/>
    <row r="351" s="534" customFormat="1"/>
    <row r="352" s="534" customFormat="1"/>
    <row r="353" s="534" customFormat="1"/>
    <row r="354" s="534" customFormat="1"/>
    <row r="355" s="534" customFormat="1"/>
    <row r="356" s="534" customFormat="1"/>
    <row r="357" s="534" customFormat="1"/>
    <row r="358" s="534" customFormat="1"/>
    <row r="359" s="534" customFormat="1"/>
    <row r="360" s="534" customFormat="1"/>
    <row r="361" s="534" customFormat="1"/>
    <row r="362" s="534" customFormat="1"/>
    <row r="363" s="534" customFormat="1"/>
    <row r="364" s="534" customFormat="1"/>
    <row r="365" s="534" customFormat="1"/>
    <row r="366" s="534" customFormat="1"/>
    <row r="367" s="534" customFormat="1"/>
    <row r="368" s="534" customFormat="1"/>
    <row r="369" s="534" customFormat="1"/>
    <row r="370" s="534" customFormat="1"/>
    <row r="371" s="534" customFormat="1"/>
    <row r="372" s="534" customFormat="1"/>
    <row r="373" s="534" customFormat="1"/>
    <row r="374" s="534" customFormat="1"/>
    <row r="375" s="534" customFormat="1"/>
    <row r="376" s="534" customFormat="1"/>
    <row r="377" s="534" customFormat="1"/>
    <row r="378" s="534" customFormat="1"/>
    <row r="379" s="534" customFormat="1"/>
    <row r="380" s="534" customFormat="1"/>
    <row r="381" s="534" customFormat="1"/>
    <row r="382" s="534" customFormat="1"/>
    <row r="383" s="534" customFormat="1"/>
    <row r="384" s="534" customFormat="1"/>
    <row r="385" s="534" customFormat="1"/>
    <row r="386" s="534" customFormat="1"/>
    <row r="387" s="534" customFormat="1"/>
    <row r="388" s="534" customFormat="1"/>
    <row r="389" s="534" customFormat="1"/>
    <row r="390" s="534" customFormat="1"/>
    <row r="391" s="534" customFormat="1"/>
    <row r="392" s="534" customFormat="1"/>
    <row r="393" s="534" customFormat="1"/>
    <row r="394" s="534" customFormat="1"/>
    <row r="395" s="534" customFormat="1"/>
    <row r="396" s="534" customFormat="1"/>
    <row r="397" s="534" customFormat="1"/>
    <row r="398" s="534" customFormat="1"/>
    <row r="399" s="534" customFormat="1"/>
    <row r="400" s="534" customFormat="1"/>
    <row r="401" s="534" customFormat="1"/>
    <row r="402" s="534" customFormat="1"/>
    <row r="403" s="534" customFormat="1"/>
    <row r="404" s="534" customFormat="1"/>
    <row r="405" s="534" customFormat="1"/>
    <row r="406" s="534" customFormat="1"/>
    <row r="407" s="534" customFormat="1"/>
    <row r="408" s="534" customFormat="1"/>
    <row r="409" s="534" customFormat="1"/>
    <row r="410" s="534" customFormat="1"/>
    <row r="411" s="534" customFormat="1"/>
    <row r="412" s="534" customFormat="1"/>
    <row r="413" s="534" customFormat="1"/>
    <row r="414" s="534" customFormat="1"/>
    <row r="415" s="534" customFormat="1"/>
    <row r="416" s="534" customFormat="1"/>
    <row r="417" s="534" customFormat="1"/>
    <row r="418" s="534" customFormat="1"/>
    <row r="419" s="534" customFormat="1"/>
    <row r="420" s="534" customFormat="1"/>
    <row r="421" s="534" customFormat="1"/>
    <row r="422" s="534" customFormat="1"/>
    <row r="423" s="534" customFormat="1"/>
    <row r="424" s="534" customFormat="1"/>
    <row r="425" s="534" customFormat="1"/>
    <row r="426" s="534" customFormat="1"/>
    <row r="427" s="534" customFormat="1"/>
    <row r="428" s="534" customFormat="1"/>
    <row r="429" s="534" customFormat="1"/>
    <row r="430" s="534" customFormat="1"/>
    <row r="431" s="534" customFormat="1"/>
    <row r="432" s="534" customFormat="1"/>
    <row r="433" s="534" customFormat="1"/>
    <row r="434" s="534" customFormat="1"/>
    <row r="435" s="534" customFormat="1"/>
    <row r="436" s="534" customFormat="1"/>
    <row r="437" s="534" customFormat="1"/>
    <row r="438" s="534" customFormat="1"/>
    <row r="439" s="534" customFormat="1"/>
    <row r="440" s="534" customFormat="1"/>
    <row r="441" s="534" customFormat="1"/>
    <row r="442" s="534" customFormat="1"/>
    <row r="443" s="534" customFormat="1"/>
    <row r="444" s="534" customFormat="1"/>
    <row r="445" s="534" customFormat="1"/>
    <row r="446" s="534" customFormat="1"/>
    <row r="447" s="534" customFormat="1"/>
    <row r="448" s="534" customFormat="1"/>
    <row r="449" s="534" customFormat="1"/>
    <row r="450" s="534" customFormat="1"/>
    <row r="451" s="534" customFormat="1"/>
    <row r="452" s="534" customFormat="1"/>
    <row r="453" s="534" customFormat="1"/>
    <row r="454" s="534" customFormat="1"/>
    <row r="455" s="534" customFormat="1"/>
    <row r="456" s="534" customFormat="1"/>
    <row r="457" s="534" customFormat="1"/>
    <row r="458" s="534" customFormat="1"/>
    <row r="459" s="534" customFormat="1"/>
    <row r="460" s="534" customFormat="1"/>
    <row r="461" s="534" customFormat="1"/>
    <row r="462" s="534" customFormat="1"/>
    <row r="463" s="534" customFormat="1"/>
    <row r="464" s="534" customFormat="1"/>
    <row r="465" s="534" customFormat="1"/>
    <row r="466" s="534" customFormat="1"/>
    <row r="467" s="534" customFormat="1"/>
    <row r="468" s="534" customFormat="1"/>
    <row r="469" s="534" customFormat="1"/>
    <row r="470" s="534" customFormat="1"/>
    <row r="471" s="534" customFormat="1"/>
    <row r="472" s="534" customFormat="1"/>
    <row r="473" s="534" customFormat="1"/>
    <row r="474" s="534" customFormat="1"/>
    <row r="475" s="534" customFormat="1"/>
    <row r="476" s="534" customFormat="1"/>
    <row r="477" s="534" customFormat="1"/>
    <row r="478" s="534" customFormat="1"/>
    <row r="479" s="534" customFormat="1"/>
    <row r="480" s="534" customFormat="1"/>
    <row r="481" s="534" customFormat="1"/>
    <row r="482" s="534" customFormat="1"/>
    <row r="483" s="534" customFormat="1"/>
    <row r="484" s="534" customFormat="1"/>
    <row r="485" s="534" customFormat="1"/>
    <row r="486" s="534" customFormat="1"/>
    <row r="487" s="534" customFormat="1"/>
    <row r="488" s="534" customFormat="1"/>
    <row r="489" s="534" customFormat="1"/>
    <row r="490" s="534" customFormat="1"/>
    <row r="491" s="534" customFormat="1"/>
    <row r="492" s="534" customFormat="1"/>
    <row r="493" s="534" customFormat="1"/>
    <row r="494" s="534" customFormat="1"/>
    <row r="495" s="534" customFormat="1"/>
    <row r="496" s="534" customFormat="1"/>
    <row r="497" s="534" customFormat="1"/>
    <row r="498" s="534" customFormat="1"/>
    <row r="499" s="534" customFormat="1"/>
    <row r="500" s="534" customFormat="1"/>
    <row r="501" s="534" customFormat="1"/>
    <row r="502" s="534" customFormat="1"/>
    <row r="503" s="534" customFormat="1"/>
    <row r="504" s="534" customFormat="1"/>
    <row r="505" s="534" customFormat="1"/>
    <row r="506" s="534" customFormat="1"/>
    <row r="507" s="534" customFormat="1"/>
    <row r="508" s="534" customFormat="1"/>
    <row r="509" s="534" customFormat="1"/>
    <row r="510" s="534" customFormat="1"/>
    <row r="511" s="534" customFormat="1"/>
    <row r="512" s="534" customFormat="1"/>
    <row r="513" s="534" customFormat="1"/>
    <row r="514" s="534" customFormat="1"/>
    <row r="515" s="534" customFormat="1"/>
    <row r="516" s="534" customFormat="1"/>
    <row r="517" s="534" customFormat="1"/>
    <row r="518" s="534" customFormat="1"/>
    <row r="519" s="534" customFormat="1"/>
    <row r="520" s="534" customFormat="1"/>
    <row r="521" s="534" customFormat="1"/>
    <row r="522" s="534" customFormat="1"/>
    <row r="523" s="534" customFormat="1"/>
    <row r="524" s="534" customFormat="1"/>
    <row r="525" s="534" customFormat="1"/>
    <row r="526" s="534" customFormat="1"/>
    <row r="527" s="534" customFormat="1"/>
    <row r="528" s="534" customFormat="1"/>
    <row r="529" s="534" customFormat="1"/>
    <row r="530" s="534" customFormat="1"/>
    <row r="531" s="534" customFormat="1"/>
    <row r="532" s="534" customFormat="1"/>
    <row r="533" s="534" customFormat="1"/>
    <row r="534" s="534" customFormat="1"/>
    <row r="535" s="534" customFormat="1"/>
    <row r="536" s="534" customFormat="1"/>
    <row r="537" s="534" customFormat="1"/>
    <row r="538" s="534" customFormat="1"/>
    <row r="539" s="534" customFormat="1"/>
    <row r="540" s="534" customFormat="1"/>
    <row r="541" s="534" customFormat="1"/>
    <row r="542" s="534" customFormat="1"/>
    <row r="543" s="534" customFormat="1"/>
    <row r="544" s="534" customFormat="1"/>
    <row r="545" s="534" customFormat="1"/>
    <row r="546" s="534" customFormat="1"/>
    <row r="547" s="534" customFormat="1"/>
    <row r="548" s="534" customFormat="1"/>
    <row r="549" s="534" customFormat="1"/>
    <row r="550" s="534" customFormat="1"/>
    <row r="551" s="534" customFormat="1"/>
    <row r="552" s="534" customFormat="1"/>
    <row r="553" s="534" customFormat="1"/>
    <row r="554" s="534" customFormat="1"/>
    <row r="555" s="534" customFormat="1"/>
    <row r="556" s="534" customFormat="1"/>
    <row r="557" s="534" customFormat="1"/>
    <row r="558" s="534" customFormat="1"/>
    <row r="559" s="534" customFormat="1"/>
    <row r="560" s="534" customFormat="1"/>
    <row r="561" s="534" customFormat="1"/>
    <row r="562" s="534" customFormat="1"/>
    <row r="563" s="534" customFormat="1"/>
    <row r="564" s="534" customFormat="1"/>
    <row r="565" s="534" customFormat="1"/>
    <row r="566" s="534" customFormat="1"/>
    <row r="567" s="534" customFormat="1"/>
    <row r="568" s="534" customFormat="1"/>
    <row r="569" s="534" customFormat="1"/>
    <row r="570" s="534" customFormat="1"/>
    <row r="571" s="534" customFormat="1"/>
    <row r="572" s="534" customFormat="1"/>
    <row r="573" s="534" customFormat="1"/>
    <row r="574" s="534" customFormat="1"/>
    <row r="575" s="534" customFormat="1"/>
    <row r="576" s="534" customFormat="1"/>
    <row r="577" s="534" customFormat="1"/>
    <row r="578" s="534" customFormat="1"/>
    <row r="579" s="534" customFormat="1"/>
    <row r="580" s="534" customFormat="1"/>
    <row r="581" s="534" customFormat="1"/>
    <row r="582" s="534" customFormat="1"/>
    <row r="583" s="534" customFormat="1"/>
    <row r="584" s="534" customFormat="1"/>
    <row r="585" s="534" customFormat="1"/>
    <row r="586" s="534" customFormat="1"/>
    <row r="587" s="534" customFormat="1"/>
    <row r="588" s="534" customFormat="1"/>
    <row r="589" s="534" customFormat="1"/>
    <row r="590" s="534" customFormat="1"/>
    <row r="591" s="534" customFormat="1"/>
    <row r="592" s="534" customFormat="1"/>
    <row r="593" s="534" customFormat="1"/>
    <row r="594" s="534" customFormat="1"/>
    <row r="595" s="534" customFormat="1"/>
    <row r="596" s="534" customFormat="1"/>
    <row r="597" s="534" customFormat="1"/>
    <row r="598" s="534" customFormat="1"/>
    <row r="599" s="534" customFormat="1"/>
    <row r="600" s="534" customFormat="1"/>
    <row r="601" s="534" customFormat="1"/>
  </sheetData>
  <sheetProtection algorithmName="SHA-512" hashValue="9pFMhT8jtAxNchMzAzeOgAvPYMFsJTt894Op3cayZPgZuXvlRpD1nQbF1CVGVTGFCWgaA0R0hW8aMCkTPmSaAQ==" saltValue="SxIUI1ib0YoNkGRyzNtASw==" spinCount="100000" sheet="1" objects="1" scenarios="1"/>
  <mergeCells count="32">
    <mergeCell ref="A1:K1"/>
    <mergeCell ref="A2:A4"/>
    <mergeCell ref="B2:C3"/>
    <mergeCell ref="D2:E3"/>
    <mergeCell ref="F2:G2"/>
    <mergeCell ref="H2:I2"/>
    <mergeCell ref="J2:K2"/>
    <mergeCell ref="B4:C4"/>
    <mergeCell ref="D4:E4"/>
    <mergeCell ref="F4:G4"/>
    <mergeCell ref="H4:I4"/>
    <mergeCell ref="J4:K4"/>
    <mergeCell ref="B5:C5"/>
    <mergeCell ref="D5:E5"/>
    <mergeCell ref="B6:C6"/>
    <mergeCell ref="D6:E6"/>
    <mergeCell ref="B7:C7"/>
    <mergeCell ref="D7:E7"/>
    <mergeCell ref="B8:C8"/>
    <mergeCell ref="D8:E8"/>
    <mergeCell ref="B9:C9"/>
    <mergeCell ref="D9:E9"/>
    <mergeCell ref="B13:C13"/>
    <mergeCell ref="D13:E13"/>
    <mergeCell ref="A14:K14"/>
    <mergeCell ref="A15:K15"/>
    <mergeCell ref="B10:C10"/>
    <mergeCell ref="D10:E10"/>
    <mergeCell ref="B11:C11"/>
    <mergeCell ref="D11:E11"/>
    <mergeCell ref="B12:C12"/>
    <mergeCell ref="D12:E12"/>
  </mergeCells>
  <printOptions horizont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tabColor theme="0"/>
    <pageSetUpPr fitToPage="1"/>
  </sheetPr>
  <dimension ref="A1:L59"/>
  <sheetViews>
    <sheetView topLeftCell="A4" zoomScaleNormal="100" workbookViewId="0">
      <selection activeCell="A7" sqref="A7:G7"/>
    </sheetView>
  </sheetViews>
  <sheetFormatPr defaultColWidth="8.85546875" defaultRowHeight="12"/>
  <cols>
    <col min="1" max="1" width="6.140625" style="332" customWidth="1"/>
    <col min="2" max="4" width="16.7109375" style="332" customWidth="1"/>
    <col min="5" max="7" width="17.7109375" style="332" customWidth="1"/>
    <col min="8" max="16384" width="8.85546875" style="332"/>
  </cols>
  <sheetData>
    <row r="1" spans="1:7" ht="15" customHeight="1">
      <c r="A1" s="1623"/>
      <c r="B1" s="1623"/>
      <c r="C1" s="1623"/>
      <c r="D1" s="1623"/>
      <c r="E1" s="1623"/>
      <c r="F1" s="1623"/>
      <c r="G1" s="1623"/>
    </row>
    <row r="2" spans="1:7" ht="26.45" customHeight="1">
      <c r="A2" s="1655" t="s">
        <v>2343</v>
      </c>
      <c r="B2" s="1655"/>
      <c r="C2" s="1655"/>
      <c r="D2" s="1655"/>
      <c r="E2" s="1655"/>
      <c r="F2" s="1655"/>
      <c r="G2" s="1655"/>
    </row>
    <row r="3" spans="1:7" ht="15" customHeight="1">
      <c r="A3" s="1656" t="s">
        <v>2344</v>
      </c>
      <c r="B3" s="1656"/>
      <c r="C3" s="1656"/>
      <c r="D3" s="1656"/>
      <c r="E3" s="1656"/>
      <c r="F3" s="1656"/>
      <c r="G3" s="1656"/>
    </row>
    <row r="4" spans="1:7" ht="15" customHeight="1">
      <c r="A4" s="1656" t="s">
        <v>2431</v>
      </c>
      <c r="B4" s="1656"/>
      <c r="C4" s="1656"/>
      <c r="D4" s="1656"/>
      <c r="E4" s="1656"/>
      <c r="F4" s="1656"/>
      <c r="G4" s="1656"/>
    </row>
    <row r="5" spans="1:7" ht="15" customHeight="1">
      <c r="A5" s="1657" t="s">
        <v>2345</v>
      </c>
      <c r="B5" s="1657"/>
      <c r="C5" s="1657"/>
      <c r="D5" s="1657"/>
      <c r="E5" s="1657"/>
      <c r="F5" s="1657"/>
      <c r="G5" s="1657"/>
    </row>
    <row r="6" spans="1:7" ht="15" customHeight="1" thickBot="1">
      <c r="A6" s="1657"/>
      <c r="B6" s="1657"/>
      <c r="C6" s="1657"/>
      <c r="D6" s="1657"/>
      <c r="E6" s="1657"/>
      <c r="F6" s="1657"/>
      <c r="G6" s="1657"/>
    </row>
    <row r="7" spans="1:7" ht="15" customHeight="1">
      <c r="A7" s="1663" t="s">
        <v>2686</v>
      </c>
      <c r="B7" s="1664"/>
      <c r="C7" s="1664"/>
      <c r="D7" s="1664"/>
      <c r="E7" s="1018"/>
      <c r="F7" s="1018"/>
      <c r="G7" s="1665"/>
    </row>
    <row r="8" spans="1:7" ht="18" customHeight="1">
      <c r="A8" s="1660" t="s">
        <v>162</v>
      </c>
      <c r="B8" s="1661"/>
      <c r="C8" s="1661"/>
      <c r="D8" s="1661"/>
      <c r="E8" s="1661"/>
      <c r="F8" s="1661"/>
      <c r="G8" s="1662"/>
    </row>
    <row r="9" spans="1:7" ht="15" customHeight="1">
      <c r="A9" s="1658" t="s">
        <v>2346</v>
      </c>
      <c r="B9" s="1612"/>
      <c r="C9" s="1612"/>
      <c r="D9" s="1612"/>
      <c r="E9" s="1612"/>
      <c r="F9" s="1612"/>
      <c r="G9" s="1659"/>
    </row>
    <row r="10" spans="1:7" ht="18" customHeight="1">
      <c r="A10" s="1675"/>
      <c r="B10" s="1676"/>
      <c r="C10" s="1676"/>
      <c r="D10" s="1676"/>
      <c r="E10" s="1676"/>
      <c r="F10" s="1676"/>
      <c r="G10" s="1677"/>
    </row>
    <row r="11" spans="1:7" ht="15" customHeight="1">
      <c r="A11" s="1658" t="s">
        <v>2347</v>
      </c>
      <c r="B11" s="1612"/>
      <c r="C11" s="1612"/>
      <c r="D11" s="1612"/>
      <c r="E11" s="1612"/>
      <c r="F11" s="1612"/>
      <c r="G11" s="1659"/>
    </row>
    <row r="12" spans="1:7" ht="18" customHeight="1">
      <c r="A12" s="1675"/>
      <c r="B12" s="1676"/>
      <c r="C12" s="1676"/>
      <c r="D12" s="1676"/>
      <c r="E12" s="1676"/>
      <c r="F12" s="1676"/>
      <c r="G12" s="1677"/>
    </row>
    <row r="13" spans="1:7" ht="5.0999999999999996" customHeight="1" thickBot="1">
      <c r="A13" s="1678"/>
      <c r="B13" s="1679"/>
      <c r="C13" s="1679"/>
      <c r="D13" s="1428"/>
      <c r="E13" s="1428"/>
      <c r="F13" s="1428"/>
      <c r="G13" s="1680"/>
    </row>
    <row r="14" spans="1:7" ht="5.0999999999999996" customHeight="1">
      <c r="A14" s="1630"/>
      <c r="B14" s="1630"/>
      <c r="C14" s="1630"/>
      <c r="D14" s="1630"/>
      <c r="E14" s="1630"/>
      <c r="F14" s="1630"/>
      <c r="G14" s="1630"/>
    </row>
    <row r="15" spans="1:7" ht="18" customHeight="1">
      <c r="A15" s="1647" t="s">
        <v>2432</v>
      </c>
      <c r="B15" s="1647"/>
      <c r="C15" s="953"/>
      <c r="D15" s="953"/>
      <c r="E15" s="953"/>
      <c r="F15" s="389">
        <f>+'DAP1'!F24</f>
        <v>2025</v>
      </c>
      <c r="G15" s="381" t="s">
        <v>2433</v>
      </c>
    </row>
    <row r="16" spans="1:7" ht="5.0999999999999996" customHeight="1" thickBot="1">
      <c r="A16" s="1638"/>
      <c r="B16" s="1638"/>
      <c r="C16" s="1639"/>
      <c r="D16" s="1639"/>
      <c r="E16" s="1639"/>
      <c r="F16" s="1639"/>
      <c r="G16" s="1639"/>
    </row>
    <row r="17" spans="1:11" ht="15" customHeight="1">
      <c r="A17" s="1663" t="s">
        <v>88</v>
      </c>
      <c r="B17" s="1664"/>
      <c r="C17" s="1018"/>
      <c r="D17" s="1018"/>
      <c r="E17" s="1018"/>
      <c r="F17" s="1670" t="s">
        <v>87</v>
      </c>
      <c r="G17" s="1671"/>
    </row>
    <row r="18" spans="1:11" ht="18" customHeight="1">
      <c r="A18" s="1666" t="str">
        <f>+IF(ISBLANK('DAP2'!C45)," ",IF(EXACT(MID('DAP2'!C45,1,1)," ")," ",+MID('DAP2'!C45,1,+FIND(" ",'DAP2'!C45))))</f>
        <v xml:space="preserve"> </v>
      </c>
      <c r="B18" s="1667"/>
      <c r="C18" s="1650"/>
      <c r="D18" s="1651"/>
      <c r="E18" s="362"/>
      <c r="F18" s="1668" t="str">
        <f>+IF(ISBLANK('DAP2'!C45)," ",IF(EXACT(MID('DAP2'!C45,1,1)," ")," ",+MID('DAP2'!C45,+FIND(" ",'DAP2'!C45)+1,20)))</f>
        <v xml:space="preserve"> </v>
      </c>
      <c r="G18" s="1669"/>
    </row>
    <row r="19" spans="1:11" ht="15" customHeight="1">
      <c r="A19" s="1648" t="s">
        <v>136</v>
      </c>
      <c r="B19" s="1673"/>
      <c r="C19" s="1649"/>
      <c r="D19" s="1649"/>
      <c r="E19" s="1612" t="s">
        <v>2348</v>
      </c>
      <c r="F19" s="1240"/>
      <c r="G19" s="1633"/>
    </row>
    <row r="20" spans="1:11" ht="18" customHeight="1">
      <c r="A20" s="1634" t="str">
        <f>+CONCATENATE('DAP2'!H45)</f>
        <v/>
      </c>
      <c r="B20" s="1635"/>
      <c r="C20" s="1672"/>
      <c r="D20" s="382"/>
      <c r="E20" s="1674" t="str">
        <f>+CONCATENATE(ZAKL_DATA!B16," ",ZAKL_DATA!B17,", ",ZAKL_DATA!B18)</f>
        <v xml:space="preserve"> , </v>
      </c>
      <c r="F20" s="1636"/>
      <c r="G20" s="1637"/>
    </row>
    <row r="21" spans="1:11" ht="15" customHeight="1">
      <c r="A21" s="1631"/>
      <c r="B21" s="1632"/>
      <c r="C21" s="1240"/>
      <c r="D21" s="1240"/>
      <c r="E21" s="1240"/>
      <c r="F21" s="1240"/>
      <c r="G21" s="1633"/>
    </row>
    <row r="22" spans="1:11" ht="18" customHeight="1">
      <c r="A22" s="1634"/>
      <c r="B22" s="1635"/>
      <c r="C22" s="1635"/>
      <c r="D22" s="1636"/>
      <c r="E22" s="1636"/>
      <c r="F22" s="1636"/>
      <c r="G22" s="1637"/>
    </row>
    <row r="23" spans="1:11" ht="15" customHeight="1">
      <c r="A23" s="1648"/>
      <c r="B23" s="1649"/>
      <c r="C23" s="1649"/>
      <c r="D23" s="1649"/>
      <c r="E23" s="1649"/>
      <c r="F23" s="1649"/>
      <c r="G23" s="390" t="s">
        <v>40</v>
      </c>
    </row>
    <row r="24" spans="1:11" ht="18" customHeight="1">
      <c r="A24" s="1634"/>
      <c r="B24" s="1635"/>
      <c r="C24" s="1650"/>
      <c r="D24" s="1650"/>
      <c r="E24" s="1651"/>
      <c r="F24" s="361"/>
      <c r="G24" s="388" t="str">
        <f>+CONCATENATE(ZAKL_DATA!B19)</f>
        <v/>
      </c>
    </row>
    <row r="25" spans="1:11" ht="9" customHeight="1" thickBot="1">
      <c r="A25" s="1652"/>
      <c r="B25" s="1653"/>
      <c r="C25" s="1653"/>
      <c r="D25" s="1653"/>
      <c r="E25" s="1331"/>
      <c r="F25" s="1331"/>
      <c r="G25" s="1654"/>
    </row>
    <row r="26" spans="1:11" ht="10.9" customHeight="1">
      <c r="A26" s="1623"/>
      <c r="B26" s="1623"/>
      <c r="C26" s="1623"/>
      <c r="D26" s="1623"/>
      <c r="E26" s="1623"/>
      <c r="F26" s="1623"/>
      <c r="G26" s="1623"/>
    </row>
    <row r="27" spans="1:11" ht="15" customHeight="1">
      <c r="A27" s="391" t="s">
        <v>2434</v>
      </c>
      <c r="B27" s="389">
        <f>+F15</f>
        <v>2025</v>
      </c>
      <c r="C27" s="383" t="s">
        <v>2437</v>
      </c>
      <c r="D27" s="1647" t="s">
        <v>2435</v>
      </c>
      <c r="E27" s="893"/>
      <c r="F27" s="893"/>
      <c r="G27" s="893"/>
    </row>
    <row r="28" spans="1:11" ht="15" customHeight="1" thickBot="1">
      <c r="A28" s="1638" t="s">
        <v>2436</v>
      </c>
      <c r="B28" s="1638"/>
      <c r="C28" s="1639"/>
      <c r="D28" s="1639"/>
      <c r="E28" s="1639"/>
      <c r="F28" s="1639"/>
      <c r="G28" s="1639"/>
      <c r="H28" s="333"/>
      <c r="I28" s="333"/>
      <c r="J28" s="333"/>
      <c r="K28" s="333"/>
    </row>
    <row r="29" spans="1:11" ht="25.9" customHeight="1">
      <c r="A29" s="334"/>
      <c r="B29" s="335" t="s">
        <v>88</v>
      </c>
      <c r="C29" s="335" t="s">
        <v>87</v>
      </c>
      <c r="D29" s="335" t="s">
        <v>136</v>
      </c>
      <c r="E29" s="363" t="s">
        <v>2253</v>
      </c>
      <c r="F29" s="363" t="s">
        <v>2254</v>
      </c>
      <c r="G29" s="336" t="s">
        <v>2438</v>
      </c>
      <c r="H29" s="337"/>
    </row>
    <row r="30" spans="1:11" ht="18" customHeight="1">
      <c r="A30" s="392">
        <v>1</v>
      </c>
      <c r="B30" s="384" t="str">
        <f>+IF(EXACT(MID('DAP3'!B17,1,1),"x")," ",(MID('DAP3'!B17,1,+FIND(" ",'DAP3'!B17))))</f>
        <v xml:space="preserve"> </v>
      </c>
      <c r="C30" s="338" t="str">
        <f>+IF(EXACT(MID('DAP3'!B17,1,1),"x")," ",(MID('DAP3'!B17,+FIND(" ",'DAP3'!B17)+1,20)))</f>
        <v xml:space="preserve"> </v>
      </c>
      <c r="D30" s="338" t="str">
        <f>+IF(EXACT(MID('DAP3'!C17,1,1),"X")," ",CONCATENATE('DAP3'!D17))</f>
        <v/>
      </c>
      <c r="E30" s="387"/>
      <c r="F30" s="387"/>
      <c r="G30" s="339"/>
    </row>
    <row r="31" spans="1:11" ht="18" customHeight="1">
      <c r="A31" s="392">
        <v>2</v>
      </c>
      <c r="B31" s="384" t="str">
        <f>+IF(EXACT(MID('DAP3'!B18,1,1),"x")," ",(MID('DAP3'!B18,1,+FIND(" ",'DAP3'!B18))))</f>
        <v xml:space="preserve"> </v>
      </c>
      <c r="C31" s="338" t="str">
        <f>+IF(EXACT(MID('DAP3'!B18,1,1),"x")," ",(MID('DAP3'!B18,+FIND(" ",'DAP3'!B18)+1,20)))</f>
        <v xml:space="preserve"> </v>
      </c>
      <c r="D31" s="338" t="str">
        <f>+IF(EXACT(MID('DAP3'!C18,1,1),"X")," ",CONCATENATE('DAP3'!D18))</f>
        <v/>
      </c>
      <c r="E31" s="387"/>
      <c r="F31" s="387"/>
      <c r="G31" s="339"/>
    </row>
    <row r="32" spans="1:11" ht="18" customHeight="1">
      <c r="A32" s="392">
        <v>3</v>
      </c>
      <c r="B32" s="384" t="str">
        <f>+IF(EXACT(MID('DAP3'!B19,1,1),"x")," ",(MID('DAP3'!B19,1,+FIND(" ",'DAP3'!B19))))</f>
        <v xml:space="preserve"> </v>
      </c>
      <c r="C32" s="338" t="str">
        <f>+IF(EXACT(MID('DAP3'!B19,1,1),"x")," ",(MID('DAP3'!B19,+FIND(" ",'DAP3'!B19)+1,20)))</f>
        <v xml:space="preserve"> </v>
      </c>
      <c r="D32" s="338" t="str">
        <f>+IF(EXACT(MID('DAP3'!C19,1,1),"X")," ",CONCATENATE('DAP3'!D19))</f>
        <v/>
      </c>
      <c r="E32" s="387"/>
      <c r="F32" s="387"/>
      <c r="G32" s="339"/>
    </row>
    <row r="33" spans="1:7" ht="18" customHeight="1">
      <c r="A33" s="392">
        <v>4</v>
      </c>
      <c r="B33" s="384" t="str">
        <f>+IF(EXACT(MID('DAP3'!B20,1,1),"x")," ",(MID('DAP3'!B20,1,+FIND(" ",'DAP3'!B20))))</f>
        <v xml:space="preserve"> </v>
      </c>
      <c r="C33" s="338" t="str">
        <f>+IF(EXACT(MID('DAP3'!B20,1,1),"x")," ",(MID('DAP3'!B20,+FIND(" ",'DAP3'!B20)+1,20)))</f>
        <v xml:space="preserve"> </v>
      </c>
      <c r="D33" s="338" t="str">
        <f>+IF(EXACT(MID('DAP3'!C20,1,1),"X")," ",CONCATENATE('DAP3'!D20))</f>
        <v/>
      </c>
      <c r="E33" s="387"/>
      <c r="F33" s="387"/>
      <c r="G33" s="339"/>
    </row>
    <row r="34" spans="1:7" ht="18" customHeight="1">
      <c r="A34" s="393" t="s">
        <v>2439</v>
      </c>
      <c r="B34" s="385"/>
      <c r="C34" s="340"/>
      <c r="D34" s="341"/>
      <c r="E34" s="341"/>
      <c r="F34" s="341"/>
      <c r="G34" s="339"/>
    </row>
    <row r="35" spans="1:7" ht="18" customHeight="1">
      <c r="A35" s="393" t="s">
        <v>2440</v>
      </c>
      <c r="B35" s="385"/>
      <c r="C35" s="340"/>
      <c r="D35" s="341"/>
      <c r="E35" s="341"/>
      <c r="F35" s="341"/>
      <c r="G35" s="339"/>
    </row>
    <row r="36" spans="1:7" ht="18" customHeight="1" thickBot="1">
      <c r="A36" s="602" t="s">
        <v>2687</v>
      </c>
      <c r="B36" s="386"/>
      <c r="C36" s="342"/>
      <c r="D36" s="343"/>
      <c r="E36" s="343"/>
      <c r="F36" s="343"/>
      <c r="G36" s="344"/>
    </row>
    <row r="37" spans="1:7" ht="15" customHeight="1">
      <c r="A37" s="1623"/>
      <c r="B37" s="1623"/>
      <c r="C37" s="1623"/>
      <c r="D37" s="1623"/>
      <c r="E37" s="1623"/>
      <c r="F37" s="1623"/>
      <c r="G37" s="1623"/>
    </row>
    <row r="38" spans="1:7" ht="15" customHeight="1">
      <c r="A38" s="1642" t="s">
        <v>2349</v>
      </c>
      <c r="B38" s="1642"/>
      <c r="C38" s="1642"/>
      <c r="D38" s="1642"/>
      <c r="E38" s="1642"/>
      <c r="F38" s="1642"/>
      <c r="G38" s="1642"/>
    </row>
    <row r="39" spans="1:7" ht="15" customHeight="1">
      <c r="A39" s="1611" t="s">
        <v>2688</v>
      </c>
      <c r="B39" s="1240"/>
      <c r="C39" s="1643"/>
      <c r="D39" s="1644"/>
      <c r="E39" s="345" t="s">
        <v>2350</v>
      </c>
      <c r="F39" s="1643"/>
      <c r="G39" s="1644"/>
    </row>
    <row r="40" spans="1:7" ht="15" customHeight="1">
      <c r="A40" s="1630"/>
      <c r="B40" s="1630"/>
      <c r="C40" s="1630"/>
      <c r="D40" s="1630"/>
      <c r="E40" s="1630"/>
      <c r="F40" s="1630"/>
      <c r="G40" s="1630"/>
    </row>
    <row r="41" spans="1:7" ht="15" customHeight="1">
      <c r="A41" s="1612"/>
      <c r="B41" s="1612"/>
      <c r="C41" s="1612"/>
      <c r="D41" s="1612"/>
      <c r="E41" s="345" t="s">
        <v>2441</v>
      </c>
      <c r="F41" s="1645"/>
      <c r="G41" s="1646"/>
    </row>
    <row r="42" spans="1:7" ht="15" customHeight="1">
      <c r="A42" s="814"/>
      <c r="B42" s="814"/>
      <c r="C42" s="814"/>
      <c r="D42" s="814"/>
      <c r="E42" s="1630"/>
      <c r="F42" s="1630"/>
      <c r="G42" s="1630"/>
    </row>
    <row r="43" spans="1:7" ht="15" customHeight="1">
      <c r="A43" s="814"/>
      <c r="B43" s="814"/>
      <c r="C43" s="814"/>
      <c r="D43" s="814"/>
      <c r="E43" s="345" t="s">
        <v>2351</v>
      </c>
      <c r="F43" s="1640">
        <f ca="1">TODAY()</f>
        <v>46094</v>
      </c>
      <c r="G43" s="1641"/>
    </row>
    <row r="44" spans="1:7" ht="15" customHeight="1">
      <c r="A44" s="814"/>
      <c r="B44" s="814"/>
      <c r="C44" s="814"/>
      <c r="D44" s="814"/>
      <c r="E44" s="345"/>
      <c r="F44" s="346"/>
      <c r="G44" s="346"/>
    </row>
    <row r="45" spans="1:7" ht="15" customHeight="1">
      <c r="A45" s="814"/>
      <c r="B45" s="814"/>
      <c r="C45" s="814"/>
      <c r="D45" s="814"/>
      <c r="E45" s="1624" t="s">
        <v>2352</v>
      </c>
      <c r="F45" s="1625"/>
      <c r="G45" s="1625"/>
    </row>
    <row r="46" spans="1:7" ht="15" customHeight="1">
      <c r="A46" s="814"/>
      <c r="B46" s="814"/>
      <c r="C46" s="814"/>
      <c r="D46" s="814"/>
      <c r="E46" s="1613"/>
      <c r="F46" s="1614"/>
      <c r="G46" s="1615"/>
    </row>
    <row r="47" spans="1:7" ht="15" customHeight="1">
      <c r="A47" s="814"/>
      <c r="B47" s="814"/>
      <c r="C47" s="814"/>
      <c r="D47" s="814"/>
      <c r="E47" s="1616"/>
      <c r="F47" s="1617"/>
      <c r="G47" s="1618"/>
    </row>
    <row r="48" spans="1:7" ht="12" customHeight="1">
      <c r="A48" s="814"/>
      <c r="B48" s="814"/>
      <c r="C48" s="814"/>
      <c r="D48" s="814"/>
      <c r="E48" s="1616"/>
      <c r="F48" s="1617"/>
      <c r="G48" s="1618"/>
    </row>
    <row r="49" spans="1:12" ht="12" customHeight="1">
      <c r="A49" s="814"/>
      <c r="B49" s="814"/>
      <c r="C49" s="814"/>
      <c r="D49" s="814"/>
      <c r="E49" s="1619"/>
      <c r="F49" s="1620"/>
      <c r="G49" s="1621"/>
    </row>
    <row r="50" spans="1:12" ht="12" customHeight="1">
      <c r="A50" s="814"/>
      <c r="B50" s="814"/>
      <c r="C50" s="814"/>
      <c r="D50" s="814"/>
      <c r="E50" s="1622"/>
      <c r="F50" s="1622"/>
      <c r="G50" s="1622"/>
    </row>
    <row r="51" spans="1:12">
      <c r="A51" s="1623"/>
      <c r="B51" s="1623"/>
      <c r="C51" s="1623"/>
      <c r="D51" s="1623"/>
      <c r="E51" s="1623"/>
      <c r="F51" s="1623"/>
      <c r="G51" s="1623"/>
    </row>
    <row r="52" spans="1:12">
      <c r="A52" s="1628" t="s">
        <v>2689</v>
      </c>
      <c r="B52" s="1628"/>
      <c r="C52" s="1628"/>
      <c r="D52" s="1628"/>
      <c r="E52" s="1628"/>
      <c r="F52" s="1628"/>
      <c r="G52" s="1628"/>
    </row>
    <row r="53" spans="1:12">
      <c r="A53" s="1623"/>
      <c r="B53" s="1623"/>
      <c r="C53" s="1623"/>
      <c r="D53" s="1623"/>
      <c r="E53" s="1623"/>
      <c r="F53" s="1623"/>
      <c r="G53" s="1623"/>
    </row>
    <row r="54" spans="1:12">
      <c r="A54" s="1629"/>
      <c r="B54" s="1629"/>
      <c r="C54" s="1629"/>
      <c r="D54" s="1629"/>
      <c r="E54" s="1629"/>
      <c r="F54" s="1629"/>
      <c r="G54" s="1629"/>
    </row>
    <row r="55" spans="1:12" ht="15.75">
      <c r="A55" s="1626" t="s">
        <v>2690</v>
      </c>
      <c r="B55" s="1626"/>
      <c r="C55" s="1626"/>
      <c r="D55" s="1626"/>
      <c r="E55" s="1626"/>
      <c r="F55" s="1626"/>
      <c r="G55" s="1626"/>
      <c r="H55" s="347"/>
      <c r="I55" s="347"/>
      <c r="J55" s="347"/>
      <c r="K55" s="347"/>
      <c r="L55" s="347"/>
    </row>
    <row r="56" spans="1:12" ht="66.75" customHeight="1">
      <c r="A56" s="1627" t="s">
        <v>2442</v>
      </c>
      <c r="B56" s="1627"/>
      <c r="C56" s="1627"/>
      <c r="D56" s="1627"/>
      <c r="E56" s="1627"/>
      <c r="F56" s="1627"/>
      <c r="G56" s="1627"/>
      <c r="H56" s="348"/>
      <c r="I56" s="348"/>
      <c r="J56" s="348"/>
      <c r="K56" s="348"/>
      <c r="L56" s="348"/>
    </row>
    <row r="57" spans="1:12">
      <c r="A57" s="1627"/>
      <c r="B57" s="1627"/>
      <c r="C57" s="1627"/>
      <c r="D57" s="1627"/>
      <c r="E57" s="1627"/>
      <c r="F57" s="1627"/>
      <c r="G57" s="1627"/>
    </row>
    <row r="58" spans="1:12">
      <c r="A58" s="1609" t="s">
        <v>2691</v>
      </c>
      <c r="B58" s="1610"/>
      <c r="C58" s="1610"/>
      <c r="D58" s="1610"/>
      <c r="E58" s="1610"/>
      <c r="F58" s="1610"/>
      <c r="G58" s="1610"/>
    </row>
    <row r="59" spans="1:12">
      <c r="A59" s="1610"/>
      <c r="B59" s="1610"/>
      <c r="C59" s="1610"/>
      <c r="D59" s="1610"/>
      <c r="E59" s="1610"/>
      <c r="F59" s="1610"/>
      <c r="G59" s="1610"/>
    </row>
  </sheetData>
  <sheetProtection algorithmName="SHA-512" hashValue="jaT845tzL7Skc99h2g3DHFJUNhsx9AlqCryF4GG/pTOB8+x/ABlHS86eoQQRcZbgVXjKFKO1uB3CnjgHRnYyHg==" saltValue="+4o4SA5yjK3Y2cOBTIXI4w==" spinCount="100000" sheet="1" objects="1" scenarios="1"/>
  <mergeCells count="52">
    <mergeCell ref="A10:G10"/>
    <mergeCell ref="A14:G14"/>
    <mergeCell ref="A13:G13"/>
    <mergeCell ref="A15:E15"/>
    <mergeCell ref="A16:G16"/>
    <mergeCell ref="A11:G11"/>
    <mergeCell ref="A12:G12"/>
    <mergeCell ref="A18:D18"/>
    <mergeCell ref="A17:E17"/>
    <mergeCell ref="F18:G18"/>
    <mergeCell ref="F17:G17"/>
    <mergeCell ref="A20:C20"/>
    <mergeCell ref="A19:D19"/>
    <mergeCell ref="E19:G19"/>
    <mergeCell ref="E20:G20"/>
    <mergeCell ref="A1:G1"/>
    <mergeCell ref="A2:G2"/>
    <mergeCell ref="A3:G3"/>
    <mergeCell ref="A5:G6"/>
    <mergeCell ref="A9:G9"/>
    <mergeCell ref="A4:G4"/>
    <mergeCell ref="A8:G8"/>
    <mergeCell ref="A7:G7"/>
    <mergeCell ref="A21:G21"/>
    <mergeCell ref="A22:G22"/>
    <mergeCell ref="A26:G26"/>
    <mergeCell ref="A28:G28"/>
    <mergeCell ref="F43:G43"/>
    <mergeCell ref="A37:G37"/>
    <mergeCell ref="A38:G38"/>
    <mergeCell ref="C39:D39"/>
    <mergeCell ref="F39:G39"/>
    <mergeCell ref="A40:G40"/>
    <mergeCell ref="F41:G41"/>
    <mergeCell ref="D27:G27"/>
    <mergeCell ref="A23:F23"/>
    <mergeCell ref="A24:E24"/>
    <mergeCell ref="A25:G25"/>
    <mergeCell ref="A58:G59"/>
    <mergeCell ref="A39:B39"/>
    <mergeCell ref="A41:D50"/>
    <mergeCell ref="E46:G49"/>
    <mergeCell ref="E50:G50"/>
    <mergeCell ref="A51:G51"/>
    <mergeCell ref="E45:G45"/>
    <mergeCell ref="A55:G55"/>
    <mergeCell ref="A56:G56"/>
    <mergeCell ref="A52:G52"/>
    <mergeCell ref="A53:G53"/>
    <mergeCell ref="A54:G54"/>
    <mergeCell ref="E42:G42"/>
    <mergeCell ref="A57:G57"/>
  </mergeCells>
  <pageMargins left="0.19685039370078741" right="0.19685039370078741" top="0.39370078740157483" bottom="0.39370078740157483" header="0.31496062992125984" footer="0.31496062992125984"/>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2">
    <tabColor theme="0"/>
  </sheetPr>
  <dimension ref="A1:F43"/>
  <sheetViews>
    <sheetView workbookViewId="0">
      <selection activeCell="A10" sqref="A10"/>
    </sheetView>
  </sheetViews>
  <sheetFormatPr defaultColWidth="8.85546875" defaultRowHeight="15"/>
  <cols>
    <col min="1" max="1" width="9.5703125" style="349" customWidth="1"/>
    <col min="2" max="2" width="17.28515625" style="349" customWidth="1"/>
    <col min="3" max="3" width="17.85546875" style="349" customWidth="1"/>
    <col min="4" max="4" width="16.28515625" style="349" customWidth="1"/>
    <col min="5" max="5" width="21.5703125" style="349" customWidth="1"/>
    <col min="6" max="6" width="16.7109375" style="349" customWidth="1"/>
    <col min="7" max="16384" width="8.85546875" style="349"/>
  </cols>
  <sheetData>
    <row r="1" spans="1:6" ht="18" customHeight="1">
      <c r="A1" s="1682"/>
      <c r="B1" s="1682"/>
      <c r="C1" s="1682"/>
      <c r="D1" s="1682"/>
      <c r="E1" s="1682"/>
    </row>
    <row r="2" spans="1:6" ht="27.6" customHeight="1">
      <c r="A2" s="1655" t="s">
        <v>2354</v>
      </c>
      <c r="B2" s="1655"/>
      <c r="C2" s="1655"/>
      <c r="D2" s="1655"/>
      <c r="E2" s="1655"/>
      <c r="F2" s="350"/>
    </row>
    <row r="3" spans="1:6" ht="18" customHeight="1">
      <c r="A3" s="1682"/>
      <c r="B3" s="1682"/>
      <c r="C3" s="1682"/>
      <c r="D3" s="1682"/>
      <c r="E3" s="1682"/>
    </row>
    <row r="4" spans="1:6" ht="18" customHeight="1">
      <c r="A4" s="1682"/>
      <c r="B4" s="1682"/>
      <c r="C4" s="1682"/>
      <c r="D4" s="1682"/>
      <c r="E4" s="1682"/>
    </row>
    <row r="5" spans="1:6" ht="18" customHeight="1">
      <c r="A5" s="351" t="s">
        <v>2355</v>
      </c>
      <c r="B5" s="1681" t="str">
        <f>+CONCATENATE('DAP2'!C45)</f>
        <v/>
      </c>
      <c r="C5" s="1681"/>
      <c r="D5" s="351" t="s">
        <v>34</v>
      </c>
      <c r="E5" s="525" t="str">
        <f>+CONCATENATE('DAP2'!H45)</f>
        <v/>
      </c>
    </row>
    <row r="6" spans="1:6" ht="18" customHeight="1">
      <c r="A6" s="1630"/>
      <c r="B6" s="1630"/>
      <c r="C6" s="1630"/>
      <c r="D6" s="1630"/>
      <c r="E6" s="1630"/>
    </row>
    <row r="7" spans="1:6" ht="18" customHeight="1">
      <c r="A7" s="351" t="s">
        <v>2356</v>
      </c>
      <c r="B7" s="1681" t="str">
        <f>+CONCATENATE(ZAKL_DATA!B16," ",ZAKL_DATA!B17,", ",ZAKL_DATA!B18,", PSČ ",ZAKL_DATA!B19)</f>
        <v xml:space="preserve"> , , PSČ </v>
      </c>
      <c r="C7" s="1681"/>
      <c r="D7" s="1681"/>
      <c r="E7" s="1681"/>
    </row>
    <row r="8" spans="1:6" ht="18" customHeight="1">
      <c r="A8" s="351"/>
      <c r="B8" s="351"/>
      <c r="C8" s="351"/>
      <c r="D8" s="351"/>
      <c r="E8" s="351"/>
    </row>
    <row r="9" spans="1:6" ht="18" customHeight="1">
      <c r="A9" s="1683" t="s">
        <v>2722</v>
      </c>
      <c r="B9" s="1683"/>
      <c r="C9" s="1683"/>
      <c r="D9" s="1683"/>
      <c r="E9" s="1683"/>
    </row>
    <row r="10" spans="1:6" ht="18" customHeight="1">
      <c r="A10" s="345"/>
      <c r="B10" s="352" t="s">
        <v>87</v>
      </c>
      <c r="C10" s="352" t="s">
        <v>88</v>
      </c>
      <c r="D10" s="352" t="s">
        <v>136</v>
      </c>
      <c r="E10" s="353"/>
    </row>
    <row r="11" spans="1:6" ht="18" customHeight="1">
      <c r="A11" s="345" t="s">
        <v>124</v>
      </c>
      <c r="B11" s="354" t="str">
        <f>+Potvr_ZAM!C30</f>
        <v xml:space="preserve"> </v>
      </c>
      <c r="C11" s="354" t="str">
        <f>+Potvr_ZAM!B30</f>
        <v xml:space="preserve"> </v>
      </c>
      <c r="D11" s="354" t="str">
        <f>+CONCATENATE(Potvr_ZAM!D30)</f>
        <v/>
      </c>
      <c r="E11" s="355"/>
    </row>
    <row r="12" spans="1:6" ht="18" customHeight="1">
      <c r="A12" s="345" t="s">
        <v>125</v>
      </c>
      <c r="B12" s="354" t="str">
        <f>+Potvr_ZAM!C31</f>
        <v xml:space="preserve"> </v>
      </c>
      <c r="C12" s="354" t="str">
        <f>+Potvr_ZAM!B31</f>
        <v xml:space="preserve"> </v>
      </c>
      <c r="D12" s="354" t="str">
        <f>+CONCATENATE(Potvr_ZAM!D31)</f>
        <v/>
      </c>
      <c r="E12" s="355"/>
    </row>
    <row r="13" spans="1:6" ht="18" customHeight="1">
      <c r="A13" s="345" t="s">
        <v>126</v>
      </c>
      <c r="B13" s="354" t="str">
        <f>+Potvr_ZAM!C32</f>
        <v xml:space="preserve"> </v>
      </c>
      <c r="C13" s="354" t="str">
        <f>+Potvr_ZAM!B32</f>
        <v xml:space="preserve"> </v>
      </c>
      <c r="D13" s="354" t="str">
        <f>+CONCATENATE(Potvr_ZAM!D32)</f>
        <v/>
      </c>
      <c r="E13" s="355"/>
    </row>
    <row r="14" spans="1:6" ht="18" customHeight="1">
      <c r="A14" s="345" t="s">
        <v>292</v>
      </c>
      <c r="B14" s="354" t="str">
        <f>+Potvr_ZAM!C33</f>
        <v xml:space="preserve"> </v>
      </c>
      <c r="C14" s="354" t="str">
        <f>+Potvr_ZAM!B33</f>
        <v xml:space="preserve"> </v>
      </c>
      <c r="D14" s="354" t="str">
        <f>+CONCATENATE(Potvr_ZAM!D33)</f>
        <v/>
      </c>
      <c r="E14" s="355"/>
    </row>
    <row r="15" spans="1:6" ht="18" customHeight="1">
      <c r="A15" s="345" t="s">
        <v>93</v>
      </c>
      <c r="B15" s="354" t="str">
        <f>+CONCATENATE(Potvr_ZAM!C34)</f>
        <v/>
      </c>
      <c r="C15" s="354" t="str">
        <f>+CONCATENATE(Potvr_ZAM!B34)</f>
        <v/>
      </c>
      <c r="D15" s="354" t="str">
        <f>+CONCATENATE(Potvr_ZAM!D34)</f>
        <v/>
      </c>
      <c r="E15" s="355"/>
    </row>
    <row r="16" spans="1:6" ht="18" customHeight="1">
      <c r="A16" s="345" t="s">
        <v>291</v>
      </c>
      <c r="B16" s="354" t="str">
        <f>+CONCATENATE(Potvr_ZAM!C35)</f>
        <v/>
      </c>
      <c r="C16" s="354" t="str">
        <f>+CONCATENATE(Potvr_ZAM!B35)</f>
        <v/>
      </c>
      <c r="D16" s="354" t="str">
        <f>+CONCATENATE(Potvr_ZAM!D35)</f>
        <v/>
      </c>
      <c r="E16" s="355"/>
    </row>
    <row r="17" spans="1:5" ht="18" customHeight="1">
      <c r="A17" s="345" t="s">
        <v>290</v>
      </c>
      <c r="B17" s="354" t="str">
        <f>+CONCATENATE(Potvr_ZAM!C36)</f>
        <v/>
      </c>
      <c r="C17" s="354" t="str">
        <f>+CONCATENATE(Potvr_ZAM!B36)</f>
        <v/>
      </c>
      <c r="D17" s="354" t="str">
        <f>+CONCATENATE(Potvr_ZAM!D36)</f>
        <v/>
      </c>
      <c r="E17" s="355"/>
    </row>
    <row r="18" spans="1:5" ht="18" customHeight="1">
      <c r="A18" s="1630"/>
      <c r="B18" s="1630"/>
      <c r="C18" s="1630"/>
      <c r="D18" s="1630"/>
      <c r="E18" s="1630"/>
    </row>
    <row r="19" spans="1:5" ht="18" customHeight="1">
      <c r="A19" s="1630"/>
      <c r="B19" s="1630"/>
      <c r="C19" s="1630"/>
      <c r="D19" s="1630"/>
      <c r="E19" s="1630"/>
    </row>
    <row r="20" spans="1:5" ht="18" customHeight="1">
      <c r="A20" s="351" t="s">
        <v>2237</v>
      </c>
      <c r="B20" s="356">
        <f ca="1">TODAY()</f>
        <v>46094</v>
      </c>
      <c r="C20" s="1630"/>
      <c r="D20" s="1630"/>
      <c r="E20" s="1630"/>
    </row>
    <row r="21" spans="1:5" ht="18" customHeight="1">
      <c r="A21" s="1630"/>
      <c r="B21" s="1630"/>
      <c r="C21" s="1630"/>
      <c r="D21" s="1684"/>
      <c r="E21" s="1684"/>
    </row>
    <row r="22" spans="1:5" ht="18" customHeight="1">
      <c r="A22" s="1630"/>
      <c r="B22" s="1630"/>
      <c r="C22" s="1630"/>
      <c r="D22" s="1681"/>
      <c r="E22" s="1681"/>
    </row>
    <row r="23" spans="1:5" ht="18" customHeight="1">
      <c r="A23" s="1630"/>
      <c r="B23" s="1630"/>
      <c r="C23" s="1630"/>
      <c r="D23" s="1685" t="s">
        <v>2357</v>
      </c>
      <c r="E23" s="1685"/>
    </row>
    <row r="24" spans="1:5" ht="18" customHeight="1">
      <c r="A24" s="357"/>
      <c r="B24" s="357"/>
      <c r="C24" s="357"/>
      <c r="D24" s="357"/>
      <c r="E24" s="357"/>
    </row>
    <row r="25" spans="1:5">
      <c r="A25" s="357"/>
      <c r="B25" s="357"/>
      <c r="C25" s="357"/>
      <c r="D25" s="357"/>
      <c r="E25" s="357"/>
    </row>
    <row r="26" spans="1:5">
      <c r="A26" s="357"/>
      <c r="B26" s="357"/>
      <c r="C26" s="357"/>
      <c r="D26" s="357"/>
      <c r="E26" s="357"/>
    </row>
    <row r="27" spans="1:5">
      <c r="A27" s="357"/>
      <c r="B27" s="357"/>
      <c r="C27" s="357"/>
      <c r="D27" s="357"/>
      <c r="E27" s="357"/>
    </row>
    <row r="28" spans="1:5">
      <c r="A28" s="357"/>
      <c r="B28" s="357"/>
      <c r="C28" s="357"/>
      <c r="D28" s="357"/>
      <c r="E28" s="357"/>
    </row>
    <row r="29" spans="1:5">
      <c r="A29" s="357"/>
      <c r="B29" s="357"/>
      <c r="C29" s="357"/>
      <c r="D29" s="357"/>
      <c r="E29" s="357"/>
    </row>
    <row r="30" spans="1:5">
      <c r="A30" s="357"/>
      <c r="B30" s="357"/>
      <c r="C30" s="357"/>
      <c r="D30" s="357"/>
      <c r="E30" s="357"/>
    </row>
    <row r="31" spans="1:5">
      <c r="A31" s="357"/>
      <c r="B31" s="357"/>
      <c r="C31" s="357"/>
      <c r="D31" s="357"/>
      <c r="E31" s="357"/>
    </row>
    <row r="32" spans="1:5">
      <c r="A32" s="357"/>
      <c r="B32" s="357"/>
      <c r="C32" s="357"/>
      <c r="D32" s="357"/>
      <c r="E32" s="357"/>
    </row>
    <row r="33" spans="1:5">
      <c r="A33" s="357"/>
      <c r="B33" s="357"/>
      <c r="C33" s="357"/>
      <c r="D33" s="357"/>
      <c r="E33" s="357"/>
    </row>
    <row r="34" spans="1:5">
      <c r="A34" s="357"/>
      <c r="B34" s="357"/>
      <c r="C34" s="357"/>
      <c r="D34" s="357"/>
      <c r="E34" s="357"/>
    </row>
    <row r="35" spans="1:5">
      <c r="A35" s="357"/>
      <c r="B35" s="357"/>
      <c r="C35" s="357"/>
      <c r="D35" s="357"/>
      <c r="E35" s="357"/>
    </row>
    <row r="36" spans="1:5">
      <c r="A36" s="357"/>
      <c r="B36" s="357"/>
      <c r="C36" s="357"/>
      <c r="D36" s="357"/>
      <c r="E36" s="357"/>
    </row>
    <row r="37" spans="1:5">
      <c r="A37" s="357"/>
      <c r="B37" s="357"/>
      <c r="C37" s="357"/>
      <c r="D37" s="357"/>
      <c r="E37" s="357"/>
    </row>
    <row r="38" spans="1:5">
      <c r="A38" s="357"/>
      <c r="B38" s="357"/>
      <c r="C38" s="357"/>
      <c r="D38" s="357"/>
      <c r="E38" s="357"/>
    </row>
    <row r="39" spans="1:5">
      <c r="A39" s="357"/>
      <c r="B39" s="357"/>
      <c r="C39" s="357"/>
      <c r="D39" s="357"/>
      <c r="E39" s="357"/>
    </row>
    <row r="40" spans="1:5">
      <c r="A40" s="357"/>
      <c r="B40" s="357"/>
      <c r="C40" s="357"/>
      <c r="D40" s="357"/>
      <c r="E40" s="357"/>
    </row>
    <row r="41" spans="1:5">
      <c r="A41" s="357"/>
      <c r="B41" s="357"/>
      <c r="C41" s="357"/>
      <c r="D41" s="357"/>
      <c r="E41" s="357"/>
    </row>
    <row r="42" spans="1:5">
      <c r="A42" s="357"/>
      <c r="B42" s="357"/>
      <c r="C42" s="357"/>
      <c r="D42" s="357"/>
      <c r="E42" s="357"/>
    </row>
    <row r="43" spans="1:5">
      <c r="A43" s="357"/>
      <c r="B43" s="357"/>
      <c r="C43" s="357"/>
      <c r="D43" s="357"/>
      <c r="E43" s="357"/>
    </row>
  </sheetData>
  <sheetProtection algorithmName="SHA-512" hashValue="tJrU22Q2hj9fEPQr4Ew5hjSaPLq7jRGN9L6ooQlhJUwBdDdl8MQZVrk6BA2JTkK+1FJyv740YdIz5/pvyjNDTQ==" saltValue="Nl/4UPZxvLCUFpV/o09KlA=="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27" right="0.39370078740157483" top="0.39370078740157483" bottom="0.39370078740157483" header="0.31496062992125984" footer="0.31496062992125984"/>
  <pageSetup paperSize="9" orientation="portrait" verticalDpi="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3">
    <tabColor rgb="FFFFFF99"/>
    <pageSetUpPr fitToPage="1"/>
  </sheetPr>
  <dimension ref="A1:BM165"/>
  <sheetViews>
    <sheetView workbookViewId="0">
      <selection activeCell="T20" sqref="T20"/>
    </sheetView>
  </sheetViews>
  <sheetFormatPr defaultRowHeight="12.75"/>
  <cols>
    <col min="1" max="1" width="21.7109375" customWidth="1"/>
    <col min="2" max="29" width="3.28515625" customWidth="1"/>
    <col min="30" max="30" width="4" customWidth="1"/>
    <col min="31" max="32" width="3.28515625" customWidth="1"/>
    <col min="33" max="33" width="9.140625" style="21"/>
    <col min="34" max="34" width="9.140625" style="21" hidden="1" customWidth="1"/>
    <col min="35" max="47" width="3.28515625" style="21" hidden="1" customWidth="1"/>
    <col min="48" max="65" width="9.140625" style="21"/>
  </cols>
  <sheetData>
    <row r="1" spans="1:32" ht="18">
      <c r="A1" s="504"/>
      <c r="B1" s="821" t="s">
        <v>2729</v>
      </c>
      <c r="C1" s="1823"/>
      <c r="D1" s="1823"/>
      <c r="E1" s="1823"/>
      <c r="F1" s="1823"/>
      <c r="G1" s="1823"/>
      <c r="H1" s="1823"/>
      <c r="I1" s="1823"/>
      <c r="J1" s="1823"/>
      <c r="K1" s="1823"/>
      <c r="L1" s="1823"/>
      <c r="M1" s="1823"/>
      <c r="N1" s="1823"/>
      <c r="O1" s="1823"/>
      <c r="P1" s="1823"/>
      <c r="Q1" s="1823"/>
      <c r="R1" s="1823"/>
      <c r="S1" s="1823"/>
      <c r="T1" s="1823"/>
      <c r="U1" s="1823"/>
      <c r="V1" s="1823"/>
      <c r="W1" s="1823"/>
      <c r="X1" s="1823"/>
      <c r="Y1" s="1823"/>
      <c r="Z1" s="1823"/>
      <c r="AA1" s="1824"/>
      <c r="AB1" s="1824"/>
      <c r="AC1" s="1824"/>
      <c r="AD1" s="1824"/>
      <c r="AE1" s="1824"/>
      <c r="AF1" s="505"/>
    </row>
    <row r="2" spans="1:32">
      <c r="A2" s="502"/>
      <c r="B2" s="1825" t="s">
        <v>220</v>
      </c>
      <c r="C2" s="1823"/>
      <c r="D2" s="1823"/>
      <c r="E2" s="1823"/>
      <c r="F2" s="1823"/>
      <c r="G2" s="1823"/>
      <c r="H2" s="1823"/>
      <c r="I2" s="1823"/>
      <c r="J2" s="1823"/>
      <c r="K2" s="1823"/>
      <c r="L2" s="1823"/>
      <c r="M2" s="1823"/>
      <c r="N2" s="1823"/>
      <c r="O2" s="1823"/>
      <c r="P2" s="1823"/>
      <c r="Q2" s="1823"/>
      <c r="R2" s="1823"/>
      <c r="S2" s="1823"/>
      <c r="T2" s="1823"/>
      <c r="U2" s="1823"/>
      <c r="V2" s="1823"/>
      <c r="W2" s="1823"/>
      <c r="X2" s="1823"/>
      <c r="Y2" s="1823"/>
      <c r="Z2" s="1823"/>
      <c r="AA2" s="1824"/>
      <c r="AB2" s="1824"/>
      <c r="AC2" s="1824"/>
      <c r="AD2" s="1824"/>
      <c r="AE2" s="1824"/>
      <c r="AF2" s="505"/>
    </row>
    <row r="3" spans="1:32">
      <c r="A3" s="1823"/>
      <c r="B3" s="1823"/>
      <c r="C3" s="1823"/>
      <c r="D3" s="506"/>
      <c r="E3" s="1823"/>
      <c r="F3" s="1823"/>
      <c r="G3" s="1823"/>
      <c r="H3" s="1823"/>
      <c r="I3" s="1823"/>
      <c r="J3" s="506"/>
      <c r="K3" s="506" t="s">
        <v>304</v>
      </c>
      <c r="L3" s="506"/>
      <c r="M3" s="506"/>
      <c r="N3" s="506"/>
      <c r="O3" s="506"/>
      <c r="P3" s="506"/>
      <c r="Q3" s="506" t="s">
        <v>305</v>
      </c>
      <c r="R3" s="506"/>
      <c r="S3" s="1826"/>
      <c r="T3" s="1826"/>
      <c r="U3" s="1826"/>
      <c r="V3" s="1826"/>
      <c r="W3" s="1826"/>
      <c r="X3" s="506"/>
      <c r="Y3" s="506"/>
      <c r="Z3" s="506"/>
      <c r="AA3" s="1824"/>
      <c r="AB3" s="1824"/>
      <c r="AC3" s="1824"/>
      <c r="AD3" s="1824"/>
      <c r="AE3" s="1824"/>
      <c r="AF3" s="505"/>
    </row>
    <row r="4" spans="1:32" ht="12.95" customHeight="1">
      <c r="A4" s="1824"/>
      <c r="B4" s="1824"/>
      <c r="C4" s="1824"/>
      <c r="D4" s="1824"/>
      <c r="E4" s="1824"/>
      <c r="F4" s="1824"/>
      <c r="G4" s="1824"/>
      <c r="H4" s="1824"/>
      <c r="I4" s="1824"/>
      <c r="J4" s="1832"/>
      <c r="K4" s="256" t="s">
        <v>234</v>
      </c>
      <c r="L4" s="1833"/>
      <c r="M4" s="1834"/>
      <c r="N4" s="1834"/>
      <c r="O4" s="1834"/>
      <c r="P4" s="1835"/>
      <c r="Q4" s="256"/>
      <c r="R4" s="1836"/>
      <c r="S4" s="1837"/>
      <c r="T4" s="1837"/>
      <c r="U4" s="1837"/>
      <c r="V4" s="1837"/>
      <c r="W4" s="1837"/>
      <c r="X4" s="1837"/>
      <c r="Y4" s="1837"/>
      <c r="Z4" s="1837"/>
      <c r="AA4" s="1837"/>
      <c r="AB4" s="1837"/>
      <c r="AC4" s="1837"/>
      <c r="AD4" s="1837"/>
      <c r="AE4" s="1837"/>
      <c r="AF4" s="1837"/>
    </row>
    <row r="5" spans="1:32" ht="12.95" customHeight="1">
      <c r="A5" s="1838" t="s">
        <v>2705</v>
      </c>
      <c r="B5" s="1838"/>
      <c r="C5" s="1838"/>
      <c r="D5" s="1838"/>
      <c r="E5" s="1838"/>
      <c r="F5" s="1838"/>
      <c r="G5" s="1713"/>
      <c r="H5" s="1240"/>
      <c r="I5" s="1240"/>
      <c r="J5" s="1240"/>
      <c r="K5" s="1240"/>
      <c r="L5" s="1240"/>
      <c r="M5" s="1240"/>
      <c r="N5" s="1240"/>
      <c r="O5" s="1240"/>
      <c r="P5" s="1240"/>
      <c r="Q5" s="1240"/>
      <c r="R5" s="1240"/>
      <c r="S5" s="1240"/>
      <c r="T5" s="1240"/>
      <c r="U5" s="1839" t="s">
        <v>2342</v>
      </c>
      <c r="V5" s="1839"/>
      <c r="W5" s="1840"/>
      <c r="X5" s="1840"/>
      <c r="Y5" s="1840"/>
      <c r="Z5" s="1841"/>
      <c r="AA5" s="1841"/>
      <c r="AB5" s="1841"/>
      <c r="AC5" s="1841"/>
      <c r="AD5" s="1841"/>
      <c r="AE5" s="1841"/>
      <c r="AF5" s="1841"/>
    </row>
    <row r="6" spans="1:32" ht="18" customHeight="1">
      <c r="A6" s="1804" t="str">
        <f>CONCATENATE(+ZAKL_DATA!B21)</f>
        <v/>
      </c>
      <c r="B6" s="1842"/>
      <c r="C6" s="1842"/>
      <c r="D6" s="1842"/>
      <c r="E6" s="1842"/>
      <c r="F6" s="1843"/>
      <c r="G6" s="1240"/>
      <c r="H6" s="1240"/>
      <c r="I6" s="1240"/>
      <c r="J6" s="1240"/>
      <c r="K6" s="1240"/>
      <c r="L6" s="1240"/>
      <c r="M6" s="1240"/>
      <c r="N6" s="1240"/>
      <c r="O6" s="1240"/>
      <c r="P6" s="1240"/>
      <c r="Q6" s="1240"/>
      <c r="R6" s="1240"/>
      <c r="S6" s="1240"/>
      <c r="T6" s="1240"/>
      <c r="U6" s="1844" t="str">
        <f>+CONCATENATE(ZAKL_DATA!B11)</f>
        <v/>
      </c>
      <c r="V6" s="1845"/>
      <c r="W6" s="1846"/>
      <c r="X6" s="1846"/>
      <c r="Y6" s="1846"/>
      <c r="Z6" s="1847"/>
      <c r="AA6" s="1847"/>
      <c r="AB6" s="1847"/>
      <c r="AC6" s="1847"/>
      <c r="AD6" s="1847"/>
      <c r="AE6" s="1847"/>
      <c r="AF6" s="1848"/>
    </row>
    <row r="7" spans="1:32" ht="9.9499999999999993" customHeight="1">
      <c r="A7" s="1827"/>
      <c r="B7" s="862"/>
      <c r="C7" s="862"/>
      <c r="D7" s="862"/>
      <c r="E7" s="862"/>
      <c r="F7" s="862"/>
      <c r="G7" s="862"/>
      <c r="H7" s="862"/>
      <c r="I7" s="862"/>
      <c r="J7" s="862"/>
      <c r="K7" s="862"/>
      <c r="L7" s="862"/>
      <c r="M7" s="862"/>
      <c r="N7" s="862"/>
      <c r="O7" s="862"/>
      <c r="P7" s="862"/>
      <c r="Q7" s="862"/>
      <c r="R7" s="862"/>
      <c r="S7" s="862"/>
      <c r="T7" s="862"/>
      <c r="U7" s="862"/>
      <c r="V7" s="862"/>
      <c r="W7" s="862"/>
      <c r="X7" s="862"/>
      <c r="Y7" s="862"/>
      <c r="Z7" s="862"/>
      <c r="AA7" s="862"/>
      <c r="AB7" s="862"/>
      <c r="AC7" s="862"/>
      <c r="AD7" s="862"/>
      <c r="AE7" s="862"/>
      <c r="AF7" s="862"/>
    </row>
    <row r="8" spans="1:32">
      <c r="A8" s="1766" t="s">
        <v>284</v>
      </c>
      <c r="B8" s="1828"/>
      <c r="C8" s="1828"/>
      <c r="D8" s="1828"/>
      <c r="E8" s="1828"/>
      <c r="F8" s="1828"/>
      <c r="G8" s="1828"/>
      <c r="H8" s="1828"/>
      <c r="I8" s="1828"/>
      <c r="J8" s="1828"/>
      <c r="K8" s="1828"/>
      <c r="L8" s="1828"/>
      <c r="M8" s="1828"/>
      <c r="N8" s="1828"/>
      <c r="O8" s="1828"/>
      <c r="P8" s="1828"/>
      <c r="Q8" s="1828"/>
      <c r="R8" s="1828"/>
      <c r="S8" s="1828"/>
      <c r="T8" s="1828"/>
      <c r="U8" s="1828"/>
      <c r="V8" s="1828"/>
      <c r="W8" s="1828"/>
      <c r="X8" s="1828"/>
      <c r="Y8" s="1828"/>
      <c r="Z8" s="1828"/>
      <c r="AA8" s="1829"/>
      <c r="AB8" s="1829"/>
      <c r="AC8" s="1829"/>
      <c r="AD8" s="1829"/>
      <c r="AE8" s="1829"/>
      <c r="AF8" s="1830"/>
    </row>
    <row r="9" spans="1:32" ht="11.1" customHeight="1">
      <c r="A9" s="1796" t="s">
        <v>149</v>
      </c>
      <c r="B9" s="1713"/>
      <c r="C9" s="1713"/>
      <c r="D9" s="1713"/>
      <c r="E9" s="1713"/>
      <c r="F9" s="1713"/>
      <c r="G9" s="507"/>
      <c r="H9" s="1713" t="s">
        <v>150</v>
      </c>
      <c r="I9" s="1713"/>
      <c r="J9" s="1713"/>
      <c r="K9" s="507"/>
      <c r="L9" s="507"/>
      <c r="M9" s="507"/>
      <c r="N9" s="507"/>
      <c r="O9" s="507"/>
      <c r="P9" s="507"/>
      <c r="Q9" s="1831" t="s">
        <v>151</v>
      </c>
      <c r="R9" s="1731"/>
      <c r="S9" s="1731"/>
      <c r="T9" s="1731"/>
      <c r="U9" s="1731"/>
      <c r="V9" s="1731"/>
      <c r="W9" s="1731"/>
      <c r="X9" s="507"/>
      <c r="Y9" s="1814" t="s">
        <v>2524</v>
      </c>
      <c r="Z9" s="1815"/>
      <c r="AA9" s="1815"/>
      <c r="AB9" s="1815"/>
      <c r="AC9" s="1815"/>
      <c r="AD9" s="1815"/>
      <c r="AE9" s="1815"/>
      <c r="AF9" s="1816"/>
    </row>
    <row r="10" spans="1:32" ht="18" customHeight="1">
      <c r="A10" s="1817">
        <f>+'DAP1'!B28</f>
        <v>0</v>
      </c>
      <c r="B10" s="1818"/>
      <c r="C10" s="1818"/>
      <c r="D10" s="1818"/>
      <c r="E10" s="1818"/>
      <c r="F10" s="1768"/>
      <c r="G10" s="358"/>
      <c r="H10" s="1817">
        <f>+'DAP1'!J28</f>
        <v>0</v>
      </c>
      <c r="I10" s="1767"/>
      <c r="J10" s="1767"/>
      <c r="K10" s="1819"/>
      <c r="L10" s="1819"/>
      <c r="M10" s="1819"/>
      <c r="N10" s="1731"/>
      <c r="O10" s="1042"/>
      <c r="P10" s="508"/>
      <c r="Q10" s="1820" t="str">
        <f>+CONCATENATE(+ZAKL_DATA!B7)</f>
        <v/>
      </c>
      <c r="R10" s="1808"/>
      <c r="S10" s="1808"/>
      <c r="T10" s="1808"/>
      <c r="U10" s="1808"/>
      <c r="V10" s="1808"/>
      <c r="W10" s="833"/>
      <c r="X10" s="508"/>
      <c r="Y10" s="1821" t="str">
        <f>+'DAP1'!A9</f>
        <v/>
      </c>
      <c r="Z10" s="1731"/>
      <c r="AA10" s="1731"/>
      <c r="AB10" s="1731"/>
      <c r="AC10" s="1731"/>
      <c r="AD10" s="1731"/>
      <c r="AE10" s="1731"/>
      <c r="AF10" s="1042"/>
    </row>
    <row r="11" spans="1:32" ht="11.1" customHeight="1">
      <c r="A11" s="1811" t="s">
        <v>2525</v>
      </c>
      <c r="B11" s="1731"/>
      <c r="C11" s="507"/>
      <c r="D11" s="1812" t="s">
        <v>2498</v>
      </c>
      <c r="E11" s="1764"/>
      <c r="F11" s="1764"/>
      <c r="G11" s="1764"/>
      <c r="H11" s="1764"/>
      <c r="I11" s="1764"/>
      <c r="J11" s="1764"/>
      <c r="K11" s="1764"/>
      <c r="L11" s="1764"/>
      <c r="M11" s="1764"/>
      <c r="N11" s="1764"/>
      <c r="O11" s="507"/>
      <c r="P11" s="1822" t="s">
        <v>2499</v>
      </c>
      <c r="Q11" s="1764"/>
      <c r="R11" s="1764"/>
      <c r="S11" s="1764"/>
      <c r="T11" s="1764"/>
      <c r="U11" s="507"/>
      <c r="V11" s="1812" t="s">
        <v>2500</v>
      </c>
      <c r="W11" s="1764"/>
      <c r="X11" s="1764"/>
      <c r="Y11" s="1764"/>
      <c r="Z11" s="1764"/>
      <c r="AA11" s="1764"/>
      <c r="AB11" s="1764"/>
      <c r="AC11" s="1764"/>
      <c r="AD11" s="1764"/>
      <c r="AE11" s="1764"/>
      <c r="AF11" s="1765"/>
    </row>
    <row r="12" spans="1:32" ht="18" customHeight="1">
      <c r="A12" s="1809">
        <f>+ZAKL_DATA!B8</f>
        <v>0</v>
      </c>
      <c r="B12" s="1810"/>
      <c r="C12" s="358"/>
      <c r="D12" s="1801">
        <f>+'DAP1'!G31</f>
        <v>0</v>
      </c>
      <c r="E12" s="1802"/>
      <c r="F12" s="1802"/>
      <c r="G12" s="1802"/>
      <c r="H12" s="1802"/>
      <c r="I12" s="1802"/>
      <c r="J12" s="1802"/>
      <c r="K12" s="1802"/>
      <c r="L12" s="1802"/>
      <c r="M12" s="1802"/>
      <c r="N12" s="1803"/>
      <c r="O12" s="358"/>
      <c r="P12" s="1800">
        <f>+'DAP1'!L31</f>
        <v>0</v>
      </c>
      <c r="Q12" s="1731"/>
      <c r="R12" s="1731"/>
      <c r="S12" s="1731"/>
      <c r="T12" s="1042"/>
      <c r="U12" s="509"/>
      <c r="V12" s="1801">
        <f>+'DAP1'!B31</f>
        <v>0</v>
      </c>
      <c r="W12" s="1802"/>
      <c r="X12" s="1802"/>
      <c r="Y12" s="1802"/>
      <c r="Z12" s="1802"/>
      <c r="AA12" s="1802"/>
      <c r="AB12" s="1802"/>
      <c r="AC12" s="1802"/>
      <c r="AD12" s="1802"/>
      <c r="AE12" s="1802"/>
      <c r="AF12" s="1803"/>
    </row>
    <row r="13" spans="1:32" ht="11.1" customHeight="1">
      <c r="A13" s="1811" t="s">
        <v>2501</v>
      </c>
      <c r="B13" s="1731"/>
      <c r="C13" s="507"/>
      <c r="D13" s="1812" t="s">
        <v>2502</v>
      </c>
      <c r="E13" s="1764"/>
      <c r="F13" s="1764"/>
      <c r="G13" s="1764"/>
      <c r="H13" s="1764"/>
      <c r="I13" s="1764"/>
      <c r="J13" s="1764"/>
      <c r="K13" s="1764"/>
      <c r="L13" s="1764"/>
      <c r="M13" s="1764"/>
      <c r="N13" s="1764"/>
      <c r="O13" s="507"/>
      <c r="P13" s="1813" t="s">
        <v>2526</v>
      </c>
      <c r="Q13" s="1649"/>
      <c r="R13" s="1649"/>
      <c r="S13" s="1649"/>
      <c r="T13" s="1649"/>
      <c r="U13" s="1240"/>
      <c r="V13" s="1649"/>
      <c r="W13" s="1649"/>
      <c r="X13" s="507"/>
      <c r="Y13" s="1814" t="s">
        <v>2527</v>
      </c>
      <c r="Z13" s="1815"/>
      <c r="AA13" s="1815"/>
      <c r="AB13" s="1815"/>
      <c r="AC13" s="1815"/>
      <c r="AD13" s="1815"/>
      <c r="AE13" s="1815"/>
      <c r="AF13" s="1816"/>
    </row>
    <row r="14" spans="1:32" ht="18" customHeight="1">
      <c r="A14" s="1800">
        <f>+'DAP1'!B32</f>
        <v>0</v>
      </c>
      <c r="B14" s="1042"/>
      <c r="C14" s="358"/>
      <c r="D14" s="1801">
        <f>+'DAP1'!K32</f>
        <v>0</v>
      </c>
      <c r="E14" s="1802"/>
      <c r="F14" s="1802"/>
      <c r="G14" s="1802"/>
      <c r="H14" s="1802"/>
      <c r="I14" s="1802"/>
      <c r="J14" s="1802"/>
      <c r="K14" s="1802"/>
      <c r="L14" s="1802"/>
      <c r="M14" s="1802"/>
      <c r="N14" s="1803"/>
      <c r="O14" s="358"/>
      <c r="P14" s="1804" t="str">
        <f>+IF(+LEN(ZAKL_DATA!B28)+LEN(ZAKL_DATA!B27)=0," ",(+IF(+LEN(ZAKL_DATA!B28)=0,'DAP1'!H32,ZAKL_DATA!B28)))</f>
        <v xml:space="preserve"> </v>
      </c>
      <c r="Q14" s="1805"/>
      <c r="R14" s="1805"/>
      <c r="S14" s="1805"/>
      <c r="T14" s="1805"/>
      <c r="U14" s="1805"/>
      <c r="V14" s="1805"/>
      <c r="W14" s="1806"/>
      <c r="X14" s="508"/>
      <c r="Y14" s="1807" t="str">
        <f>++CONCATENATE(ZAKL_DATA!B25)</f>
        <v/>
      </c>
      <c r="Z14" s="1808"/>
      <c r="AA14" s="1808"/>
      <c r="AB14" s="1808"/>
      <c r="AC14" s="1808"/>
      <c r="AD14" s="1808"/>
      <c r="AE14" s="1808"/>
      <c r="AF14" s="833"/>
    </row>
    <row r="15" spans="1:32" ht="5.0999999999999996" customHeight="1">
      <c r="A15" s="1790"/>
      <c r="B15" s="1728"/>
      <c r="C15" s="1728"/>
      <c r="D15" s="1728"/>
      <c r="E15" s="1728"/>
      <c r="F15" s="1728"/>
      <c r="G15" s="1728"/>
      <c r="H15" s="1728"/>
      <c r="I15" s="1728"/>
      <c r="J15" s="1728"/>
      <c r="K15" s="1728"/>
      <c r="L15" s="1728"/>
      <c r="M15" s="1728"/>
      <c r="N15" s="1728"/>
      <c r="O15" s="1728"/>
      <c r="P15" s="1728"/>
      <c r="Q15" s="1728"/>
      <c r="R15" s="1728"/>
      <c r="S15" s="1728"/>
      <c r="T15" s="1728"/>
      <c r="U15" s="1728"/>
      <c r="V15" s="1728"/>
      <c r="W15" s="1728"/>
      <c r="X15" s="1728"/>
      <c r="Y15" s="1728"/>
      <c r="Z15" s="1728"/>
      <c r="AA15" s="1728"/>
      <c r="AB15" s="1728"/>
      <c r="AC15" s="1728"/>
      <c r="AD15" s="1728"/>
      <c r="AE15" s="1728"/>
      <c r="AF15" s="1791"/>
    </row>
    <row r="16" spans="1:32" ht="15" customHeight="1">
      <c r="A16" s="1766" t="s">
        <v>2528</v>
      </c>
      <c r="B16" s="1767"/>
      <c r="C16" s="1767"/>
      <c r="D16" s="1767"/>
      <c r="E16" s="1767"/>
      <c r="F16" s="1767"/>
      <c r="G16" s="1767"/>
      <c r="H16" s="1767"/>
      <c r="I16" s="1767"/>
      <c r="J16" s="1767"/>
      <c r="K16" s="1767"/>
      <c r="L16" s="1767"/>
      <c r="M16" s="1767"/>
      <c r="N16" s="1767"/>
      <c r="O16" s="1767"/>
      <c r="P16" s="1767"/>
      <c r="Q16" s="1767"/>
      <c r="R16" s="1767"/>
      <c r="S16" s="1767"/>
      <c r="T16" s="1767"/>
      <c r="U16" s="1767"/>
      <c r="V16" s="1767"/>
      <c r="W16" s="1767"/>
      <c r="X16" s="1767"/>
      <c r="Y16" s="1767"/>
      <c r="Z16" s="1767"/>
      <c r="AA16" s="1767"/>
      <c r="AB16" s="1767"/>
      <c r="AC16" s="1767"/>
      <c r="AD16" s="1767"/>
      <c r="AE16" s="1767"/>
      <c r="AF16" s="1768"/>
    </row>
    <row r="17" spans="1:32" ht="4.5" customHeight="1">
      <c r="A17" s="1769"/>
      <c r="B17" s="1649"/>
      <c r="C17" s="1649"/>
      <c r="D17" s="1649"/>
      <c r="E17" s="1649"/>
      <c r="F17" s="1649"/>
      <c r="G17" s="1649"/>
      <c r="H17" s="1649"/>
      <c r="I17" s="1649"/>
      <c r="J17" s="1649"/>
      <c r="K17" s="1649"/>
      <c r="L17" s="1649"/>
      <c r="M17" s="1649"/>
      <c r="N17" s="1649"/>
      <c r="O17" s="1649"/>
      <c r="P17" s="1649"/>
      <c r="Q17" s="1649"/>
      <c r="R17" s="1649"/>
      <c r="S17" s="1649"/>
      <c r="T17" s="1649"/>
      <c r="U17" s="1649"/>
      <c r="V17" s="1649"/>
      <c r="W17" s="1649"/>
      <c r="X17" s="1649"/>
      <c r="Y17" s="1649"/>
      <c r="Z17" s="1649"/>
      <c r="AA17" s="1649"/>
      <c r="AB17" s="1649"/>
      <c r="AC17" s="1649"/>
      <c r="AD17" s="1649"/>
      <c r="AE17" s="1649"/>
      <c r="AF17" s="1770"/>
    </row>
    <row r="18" spans="1:32" ht="15" customHeight="1">
      <c r="A18" s="1796" t="s">
        <v>2730</v>
      </c>
      <c r="B18" s="1713"/>
      <c r="C18" s="1713"/>
      <c r="D18" s="1713"/>
      <c r="E18" s="1713"/>
      <c r="F18" s="1713"/>
      <c r="G18" s="1713"/>
      <c r="H18" s="1713"/>
      <c r="I18" s="1713"/>
      <c r="J18" s="1713"/>
      <c r="K18" s="1713"/>
      <c r="L18" s="1713"/>
      <c r="M18" s="1713"/>
      <c r="N18" s="1797"/>
      <c r="O18" s="256" t="s">
        <v>234</v>
      </c>
      <c r="P18" s="1798" t="s">
        <v>152</v>
      </c>
      <c r="Q18" s="1713"/>
      <c r="R18" s="1713"/>
      <c r="S18" s="1713"/>
      <c r="T18" s="1797"/>
      <c r="U18" s="256"/>
      <c r="V18" s="1798" t="s">
        <v>153</v>
      </c>
      <c r="W18" s="1713"/>
      <c r="X18" s="1713"/>
      <c r="Y18" s="1713"/>
      <c r="Z18" s="1728"/>
      <c r="AA18" s="256"/>
      <c r="AB18" s="1713" t="s">
        <v>154</v>
      </c>
      <c r="AC18" s="1713"/>
      <c r="AD18" s="1713"/>
      <c r="AE18" s="1713"/>
      <c r="AF18" s="1799"/>
    </row>
    <row r="19" spans="1:32" ht="4.5" customHeight="1">
      <c r="A19" s="1725"/>
      <c r="B19" s="1713"/>
      <c r="C19" s="1713"/>
      <c r="D19" s="1713"/>
      <c r="E19" s="1713"/>
      <c r="F19" s="1713"/>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1787"/>
      <c r="AE19" s="1788"/>
      <c r="AF19" s="1789"/>
    </row>
    <row r="20" spans="1:32" ht="15" customHeight="1">
      <c r="A20" s="1725" t="s">
        <v>111</v>
      </c>
      <c r="B20" s="1785"/>
      <c r="C20" s="1785"/>
      <c r="D20" s="1785"/>
      <c r="E20" s="1785"/>
      <c r="F20" s="497">
        <v>1</v>
      </c>
      <c r="G20" s="256"/>
      <c r="H20" s="511">
        <v>2</v>
      </c>
      <c r="I20" s="256"/>
      <c r="J20" s="511">
        <v>3</v>
      </c>
      <c r="K20" s="256"/>
      <c r="L20" s="511">
        <v>4</v>
      </c>
      <c r="M20" s="256"/>
      <c r="N20" s="511">
        <v>5</v>
      </c>
      <c r="O20" s="256"/>
      <c r="P20" s="511">
        <v>6</v>
      </c>
      <c r="Q20" s="256"/>
      <c r="R20" s="511">
        <v>7</v>
      </c>
      <c r="S20" s="256"/>
      <c r="T20" s="511">
        <v>8</v>
      </c>
      <c r="U20" s="256"/>
      <c r="V20" s="511">
        <v>9</v>
      </c>
      <c r="W20" s="256"/>
      <c r="X20" s="511">
        <v>10</v>
      </c>
      <c r="Y20" s="256"/>
      <c r="Z20" s="511">
        <v>11</v>
      </c>
      <c r="AA20" s="256"/>
      <c r="AB20" s="511">
        <v>12</v>
      </c>
      <c r="AC20" s="256"/>
      <c r="AD20" s="512" t="s">
        <v>215</v>
      </c>
      <c r="AE20" s="620" t="str">
        <f>+IF(EXACT(O18,"X"),"X","")</f>
        <v>X</v>
      </c>
      <c r="AF20" s="514"/>
    </row>
    <row r="21" spans="1:32" ht="4.5" customHeight="1">
      <c r="A21" s="1786"/>
      <c r="B21" s="1579"/>
      <c r="C21" s="1579"/>
      <c r="D21" s="1579"/>
      <c r="E21" s="1579"/>
      <c r="F21" s="1579"/>
      <c r="G21" s="510"/>
      <c r="H21" s="510"/>
      <c r="I21" s="510"/>
      <c r="J21" s="510"/>
      <c r="K21" s="510"/>
      <c r="L21" s="510"/>
      <c r="M21" s="510"/>
      <c r="N21" s="510"/>
      <c r="O21" s="510"/>
      <c r="P21" s="510"/>
      <c r="Q21" s="510"/>
      <c r="R21" s="510"/>
      <c r="S21" s="510"/>
      <c r="T21" s="510"/>
      <c r="U21" s="510"/>
      <c r="V21" s="510"/>
      <c r="W21" s="510"/>
      <c r="X21" s="510"/>
      <c r="Y21" s="510"/>
      <c r="Z21" s="510"/>
      <c r="AA21" s="510"/>
      <c r="AB21" s="510"/>
      <c r="AC21" s="510"/>
      <c r="AD21" s="1787"/>
      <c r="AE21" s="1788"/>
      <c r="AF21" s="1789"/>
    </row>
    <row r="22" spans="1:32" ht="15" customHeight="1">
      <c r="A22" s="1725" t="s">
        <v>112</v>
      </c>
      <c r="B22" s="1785"/>
      <c r="C22" s="1785"/>
      <c r="D22" s="1785"/>
      <c r="E22" s="1785"/>
      <c r="F22" s="497">
        <v>1</v>
      </c>
      <c r="G22" s="256"/>
      <c r="H22" s="511">
        <v>2</v>
      </c>
      <c r="I22" s="256"/>
      <c r="J22" s="511">
        <v>3</v>
      </c>
      <c r="K22" s="256"/>
      <c r="L22" s="511">
        <v>4</v>
      </c>
      <c r="M22" s="256"/>
      <c r="N22" s="511">
        <v>5</v>
      </c>
      <c r="O22" s="256"/>
      <c r="P22" s="511">
        <v>6</v>
      </c>
      <c r="Q22" s="256"/>
      <c r="R22" s="511">
        <v>7</v>
      </c>
      <c r="S22" s="256"/>
      <c r="T22" s="511">
        <v>8</v>
      </c>
      <c r="U22" s="256"/>
      <c r="V22" s="511">
        <v>9</v>
      </c>
      <c r="W22" s="256"/>
      <c r="X22" s="511">
        <v>10</v>
      </c>
      <c r="Y22" s="256"/>
      <c r="Z22" s="511">
        <v>11</v>
      </c>
      <c r="AA22" s="256"/>
      <c r="AB22" s="511">
        <v>12</v>
      </c>
      <c r="AC22" s="256"/>
      <c r="AD22" s="512" t="s">
        <v>215</v>
      </c>
      <c r="AE22" s="620" t="str">
        <f>+IF(EXACT(U18,"X"),"X","")</f>
        <v/>
      </c>
      <c r="AF22" s="514"/>
    </row>
    <row r="23" spans="1:32" ht="4.5" customHeight="1">
      <c r="A23" s="1786"/>
      <c r="B23" s="1579"/>
      <c r="C23" s="1579"/>
      <c r="D23" s="1579"/>
      <c r="E23" s="1579"/>
      <c r="F23" s="1579"/>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1787"/>
      <c r="AE23" s="1788"/>
      <c r="AF23" s="1789"/>
    </row>
    <row r="24" spans="1:32" ht="14.25" customHeight="1">
      <c r="A24" s="1690" t="s">
        <v>2529</v>
      </c>
      <c r="B24" s="1778"/>
      <c r="C24" s="1778"/>
      <c r="D24" s="1778"/>
      <c r="E24" s="1778"/>
      <c r="F24" s="497">
        <v>1</v>
      </c>
      <c r="G24" s="256"/>
      <c r="H24" s="511">
        <v>2</v>
      </c>
      <c r="I24" s="256"/>
      <c r="J24" s="511">
        <v>3</v>
      </c>
      <c r="K24" s="256"/>
      <c r="L24" s="511">
        <v>4</v>
      </c>
      <c r="M24" s="256"/>
      <c r="N24" s="511">
        <v>5</v>
      </c>
      <c r="O24" s="256"/>
      <c r="P24" s="511">
        <v>6</v>
      </c>
      <c r="Q24" s="256"/>
      <c r="R24" s="511">
        <v>7</v>
      </c>
      <c r="S24" s="256"/>
      <c r="T24" s="511">
        <v>8</v>
      </c>
      <c r="U24" s="256"/>
      <c r="V24" s="511">
        <v>9</v>
      </c>
      <c r="W24" s="256"/>
      <c r="X24" s="511">
        <v>10</v>
      </c>
      <c r="Y24" s="256"/>
      <c r="Z24" s="511">
        <v>11</v>
      </c>
      <c r="AA24" s="256"/>
      <c r="AB24" s="511">
        <v>12</v>
      </c>
      <c r="AC24" s="256"/>
      <c r="AD24" s="512" t="s">
        <v>215</v>
      </c>
      <c r="AE24" s="620"/>
      <c r="AF24" s="514"/>
    </row>
    <row r="25" spans="1:32" ht="21" customHeight="1">
      <c r="A25" s="1779"/>
      <c r="B25" s="1778"/>
      <c r="C25" s="1778"/>
      <c r="D25" s="1778"/>
      <c r="E25" s="1778"/>
      <c r="F25" s="358"/>
      <c r="G25" s="1728"/>
      <c r="H25" s="1240"/>
      <c r="I25" s="1240"/>
      <c r="J25" s="1240"/>
      <c r="K25" s="1240"/>
      <c r="L25" s="1240"/>
      <c r="M25" s="1240"/>
      <c r="N25" s="1240"/>
      <c r="O25" s="1240"/>
      <c r="P25" s="1240"/>
      <c r="Q25" s="1240"/>
      <c r="R25" s="1240"/>
      <c r="S25" s="1240"/>
      <c r="T25" s="1240"/>
      <c r="U25" s="1240"/>
      <c r="V25" s="1240"/>
      <c r="W25" s="1240"/>
      <c r="X25" s="1240"/>
      <c r="Y25" s="1240"/>
      <c r="Z25" s="1240"/>
      <c r="AA25" s="1240"/>
      <c r="AB25" s="1240"/>
      <c r="AC25" s="1240"/>
      <c r="AD25" s="1240"/>
      <c r="AE25" s="1764"/>
      <c r="AF25" s="1736"/>
    </row>
    <row r="26" spans="1:32" ht="15" customHeight="1">
      <c r="A26" s="1795" t="s">
        <v>2739</v>
      </c>
      <c r="B26" s="1778"/>
      <c r="C26" s="1778"/>
      <c r="D26" s="1778"/>
      <c r="E26" s="1778"/>
      <c r="F26" s="497">
        <v>1</v>
      </c>
      <c r="G26" s="620"/>
      <c r="H26" s="511">
        <v>2</v>
      </c>
      <c r="I26" s="620"/>
      <c r="J26" s="511">
        <v>3</v>
      </c>
      <c r="K26" s="620"/>
      <c r="L26" s="511">
        <v>4</v>
      </c>
      <c r="M26" s="620"/>
      <c r="N26" s="511">
        <v>5</v>
      </c>
      <c r="O26" s="620"/>
      <c r="P26" s="511">
        <v>6</v>
      </c>
      <c r="Q26" s="620"/>
      <c r="R26" s="511">
        <v>7</v>
      </c>
      <c r="S26" s="620"/>
      <c r="T26" s="511">
        <v>8</v>
      </c>
      <c r="U26" s="620"/>
      <c r="V26" s="511">
        <v>9</v>
      </c>
      <c r="W26" s="620"/>
      <c r="X26" s="511">
        <v>10</v>
      </c>
      <c r="Y26" s="620"/>
      <c r="Z26" s="511">
        <v>11</v>
      </c>
      <c r="AA26" s="620"/>
      <c r="AB26" s="511">
        <v>12</v>
      </c>
      <c r="AC26" s="620"/>
      <c r="AD26" s="512" t="s">
        <v>215</v>
      </c>
      <c r="AE26" s="620"/>
      <c r="AF26" s="514"/>
    </row>
    <row r="27" spans="1:32" ht="9.9499999999999993" customHeight="1">
      <c r="A27" s="1779"/>
      <c r="B27" s="1778"/>
      <c r="C27" s="1778"/>
      <c r="D27" s="1778"/>
      <c r="E27" s="1778"/>
      <c r="F27" s="358"/>
      <c r="G27" s="1728"/>
      <c r="H27" s="1240"/>
      <c r="I27" s="1240"/>
      <c r="J27" s="1240"/>
      <c r="K27" s="1240"/>
      <c r="L27" s="1240"/>
      <c r="M27" s="1240"/>
      <c r="N27" s="1240"/>
      <c r="O27" s="1240"/>
      <c r="P27" s="1240"/>
      <c r="Q27" s="1240"/>
      <c r="R27" s="1240"/>
      <c r="S27" s="1240"/>
      <c r="T27" s="1240"/>
      <c r="U27" s="1240"/>
      <c r="V27" s="1240"/>
      <c r="W27" s="1240"/>
      <c r="X27" s="1240"/>
      <c r="Y27" s="1240"/>
      <c r="Z27" s="1240"/>
      <c r="AA27" s="1240"/>
      <c r="AB27" s="1240"/>
      <c r="AC27" s="1240"/>
      <c r="AD27" s="1240"/>
      <c r="AE27" s="1764"/>
      <c r="AF27" s="924"/>
    </row>
    <row r="28" spans="1:32" ht="15" customHeight="1">
      <c r="A28" s="1792" t="s">
        <v>2695</v>
      </c>
      <c r="B28" s="1793"/>
      <c r="C28" s="1793"/>
      <c r="D28" s="1793"/>
      <c r="E28" s="1793"/>
      <c r="F28" s="1793"/>
      <c r="G28" s="1793"/>
      <c r="H28" s="1793"/>
      <c r="I28" s="1793"/>
      <c r="J28" s="1793"/>
      <c r="K28" s="1793"/>
      <c r="L28" s="1793"/>
      <c r="M28" s="1793"/>
      <c r="N28" s="1793"/>
      <c r="O28" s="1793"/>
      <c r="P28" s="1793"/>
      <c r="Q28" s="1793"/>
      <c r="R28" s="1793"/>
      <c r="S28" s="1793"/>
      <c r="T28" s="1793"/>
      <c r="U28" s="1793"/>
      <c r="V28" s="1793"/>
      <c r="W28" s="1793"/>
      <c r="X28" s="1793"/>
      <c r="Y28" s="1793"/>
      <c r="Z28" s="1793"/>
      <c r="AA28" s="1793"/>
      <c r="AB28" s="1793"/>
      <c r="AC28" s="1793"/>
      <c r="AD28" s="1794"/>
      <c r="AE28" s="256"/>
      <c r="AF28" s="603"/>
    </row>
    <row r="29" spans="1:32" ht="4.5" customHeight="1">
      <c r="A29" s="1790"/>
      <c r="B29" s="1728"/>
      <c r="C29" s="1728"/>
      <c r="D29" s="1728"/>
      <c r="E29" s="1728"/>
      <c r="F29" s="1728"/>
      <c r="G29" s="1728"/>
      <c r="H29" s="1728"/>
      <c r="I29" s="1728"/>
      <c r="J29" s="1728"/>
      <c r="K29" s="1728"/>
      <c r="L29" s="1728"/>
      <c r="M29" s="1728"/>
      <c r="N29" s="1728"/>
      <c r="O29" s="1728"/>
      <c r="P29" s="1728"/>
      <c r="Q29" s="1728"/>
      <c r="R29" s="1728"/>
      <c r="S29" s="1728"/>
      <c r="T29" s="1728"/>
      <c r="U29" s="1728"/>
      <c r="V29" s="1728"/>
      <c r="W29" s="1728"/>
      <c r="X29" s="1728"/>
      <c r="Y29" s="1728"/>
      <c r="Z29" s="1728"/>
      <c r="AA29" s="1728"/>
      <c r="AB29" s="1728"/>
      <c r="AC29" s="1728"/>
      <c r="AD29" s="1728"/>
      <c r="AE29" s="1728"/>
      <c r="AF29" s="1791"/>
    </row>
    <row r="30" spans="1:32" ht="15" customHeight="1">
      <c r="A30" s="1706" t="s">
        <v>2692</v>
      </c>
      <c r="B30" s="1780"/>
      <c r="C30" s="1780"/>
      <c r="D30" s="1780"/>
      <c r="E30" s="1780"/>
      <c r="F30" s="1780"/>
      <c r="G30" s="1780"/>
      <c r="H30" s="1780"/>
      <c r="I30" s="1780"/>
      <c r="J30" s="1780"/>
      <c r="K30" s="1780"/>
      <c r="L30" s="1780"/>
      <c r="M30" s="1780"/>
      <c r="N30" s="1780"/>
      <c r="O30" s="1780"/>
      <c r="P30" s="1780"/>
      <c r="Q30" s="1780"/>
      <c r="R30" s="1780"/>
      <c r="S30" s="1780"/>
      <c r="T30" s="1780"/>
      <c r="U30" s="1780"/>
      <c r="V30" s="1780"/>
      <c r="W30" s="1780"/>
      <c r="X30" s="1780"/>
      <c r="Y30" s="1780"/>
      <c r="Z30" s="1780"/>
      <c r="AA30" s="1780"/>
      <c r="AB30" s="1780"/>
      <c r="AC30" s="1780"/>
      <c r="AD30" s="1780"/>
      <c r="AE30" s="1780"/>
      <c r="AF30" s="1781"/>
    </row>
    <row r="31" spans="1:32" ht="4.5" customHeight="1">
      <c r="A31" s="1782"/>
      <c r="B31" s="1580"/>
      <c r="C31" s="1580"/>
      <c r="D31" s="1580"/>
      <c r="E31" s="1580"/>
      <c r="F31" s="1783"/>
      <c r="G31" s="1783"/>
      <c r="H31" s="1783"/>
      <c r="I31" s="1783"/>
      <c r="J31" s="1783"/>
      <c r="K31" s="1783"/>
      <c r="L31" s="1783"/>
      <c r="M31" s="1783"/>
      <c r="N31" s="1783"/>
      <c r="O31" s="1783"/>
      <c r="P31" s="1783"/>
      <c r="Q31" s="1783"/>
      <c r="R31" s="1783"/>
      <c r="S31" s="1783"/>
      <c r="T31" s="1783"/>
      <c r="U31" s="1783"/>
      <c r="V31" s="1783"/>
      <c r="W31" s="1783"/>
      <c r="X31" s="1783"/>
      <c r="Y31" s="1783"/>
      <c r="Z31" s="1783"/>
      <c r="AA31" s="1783"/>
      <c r="AB31" s="1783"/>
      <c r="AC31" s="1783"/>
      <c r="AD31" s="1783"/>
      <c r="AE31" s="1783"/>
      <c r="AF31" s="1784"/>
    </row>
    <row r="32" spans="1:32" ht="18" customHeight="1">
      <c r="A32" s="1774" t="s">
        <v>2530</v>
      </c>
      <c r="B32" s="1775"/>
      <c r="C32" s="1775"/>
      <c r="D32" s="1775"/>
      <c r="E32" s="1775"/>
      <c r="F32" s="924"/>
      <c r="G32" s="256"/>
      <c r="H32" s="1732"/>
      <c r="I32" s="1776"/>
      <c r="J32" s="1776"/>
      <c r="K32" s="1776"/>
      <c r="L32" s="1713" t="s">
        <v>2613</v>
      </c>
      <c r="M32" s="1776"/>
      <c r="N32" s="1776"/>
      <c r="O32" s="1776"/>
      <c r="P32" s="1776"/>
      <c r="Q32" s="1776"/>
      <c r="R32" s="1776"/>
      <c r="S32" s="1776"/>
      <c r="T32" s="1776"/>
      <c r="U32" s="1776"/>
      <c r="V32" s="1776"/>
      <c r="W32" s="1776"/>
      <c r="X32" s="1776"/>
      <c r="Y32" s="1776"/>
      <c r="Z32" s="1776"/>
      <c r="AA32" s="1776"/>
      <c r="AB32" s="1776"/>
      <c r="AC32" s="1776"/>
      <c r="AD32" s="924"/>
      <c r="AE32" s="256"/>
      <c r="AF32" s="503"/>
    </row>
    <row r="33" spans="1:65" ht="3.95" customHeight="1">
      <c r="A33" s="1725"/>
      <c r="B33" s="1240"/>
      <c r="C33" s="1240"/>
      <c r="D33" s="1240"/>
      <c r="E33" s="1240"/>
      <c r="F33" s="1240"/>
      <c r="G33" s="1240"/>
      <c r="H33" s="1240"/>
      <c r="I33" s="1240"/>
      <c r="J33" s="1240"/>
      <c r="K33" s="1240"/>
      <c r="L33" s="1240"/>
      <c r="M33" s="1240"/>
      <c r="N33" s="1240"/>
      <c r="O33" s="1240"/>
      <c r="P33" s="1240"/>
      <c r="Q33" s="1240"/>
      <c r="R33" s="1240"/>
      <c r="S33" s="1240"/>
      <c r="T33" s="1240"/>
      <c r="U33" s="1240"/>
      <c r="V33" s="1240"/>
      <c r="W33" s="1240"/>
      <c r="X33" s="1240"/>
      <c r="Y33" s="1240"/>
      <c r="Z33" s="1240"/>
      <c r="AA33" s="1240"/>
      <c r="AB33" s="1240"/>
      <c r="AC33" s="1240"/>
      <c r="AD33" s="1240"/>
      <c r="AE33" s="1240"/>
      <c r="AF33" s="924"/>
    </row>
    <row r="34" spans="1:65" ht="20.100000000000001" customHeight="1">
      <c r="A34" s="1774" t="s">
        <v>2693</v>
      </c>
      <c r="B34" s="1775"/>
      <c r="C34" s="1775"/>
      <c r="D34" s="1775"/>
      <c r="E34" s="1775"/>
      <c r="F34" s="924"/>
      <c r="G34" s="256"/>
      <c r="H34" s="1732"/>
      <c r="I34" s="1776"/>
      <c r="J34" s="1776"/>
      <c r="K34" s="1776"/>
      <c r="L34" s="1775" t="s">
        <v>2531</v>
      </c>
      <c r="M34" s="1777"/>
      <c r="N34" s="1777"/>
      <c r="O34" s="1777"/>
      <c r="P34" s="1777"/>
      <c r="Q34" s="1777"/>
      <c r="R34" s="1777"/>
      <c r="S34" s="1777"/>
      <c r="T34" s="1777"/>
      <c r="U34" s="1777"/>
      <c r="V34" s="1777"/>
      <c r="W34" s="1777"/>
      <c r="X34" s="1777"/>
      <c r="Y34" s="1777"/>
      <c r="Z34" s="1777"/>
      <c r="AA34" s="1777"/>
      <c r="AB34" s="1777"/>
      <c r="AC34" s="1777"/>
      <c r="AD34" s="924"/>
      <c r="AE34" s="256"/>
      <c r="AF34" s="503"/>
    </row>
    <row r="35" spans="1:65" ht="3.95" customHeight="1">
      <c r="A35" s="1725"/>
      <c r="B35" s="1240"/>
      <c r="C35" s="1240"/>
      <c r="D35" s="1240"/>
      <c r="E35" s="1240"/>
      <c r="F35" s="1240"/>
      <c r="G35" s="1240"/>
      <c r="H35" s="1240"/>
      <c r="I35" s="1240"/>
      <c r="J35" s="1240"/>
      <c r="K35" s="1240"/>
      <c r="L35" s="1240"/>
      <c r="M35" s="1240"/>
      <c r="N35" s="1240"/>
      <c r="O35" s="1240"/>
      <c r="P35" s="1240"/>
      <c r="Q35" s="1240"/>
      <c r="R35" s="1240"/>
      <c r="S35" s="1240"/>
      <c r="T35" s="1240"/>
      <c r="U35" s="1240"/>
      <c r="V35" s="1240"/>
      <c r="W35" s="1240"/>
      <c r="X35" s="1240"/>
      <c r="Y35" s="1240"/>
      <c r="Z35" s="1240"/>
      <c r="AA35" s="1240"/>
      <c r="AB35" s="1240"/>
      <c r="AC35" s="1240"/>
      <c r="AD35" s="1240"/>
      <c r="AE35" s="1240"/>
      <c r="AF35" s="924"/>
    </row>
    <row r="36" spans="1:65" ht="20.100000000000001" customHeight="1">
      <c r="A36" s="1774" t="s">
        <v>2532</v>
      </c>
      <c r="B36" s="1775"/>
      <c r="C36" s="1775"/>
      <c r="D36" s="1775"/>
      <c r="E36" s="1775"/>
      <c r="F36" s="924"/>
      <c r="G36" s="256"/>
      <c r="H36" s="1732"/>
      <c r="I36" s="1776"/>
      <c r="J36" s="1776"/>
      <c r="K36" s="1776"/>
      <c r="L36" s="1775" t="s">
        <v>2639</v>
      </c>
      <c r="M36" s="1777"/>
      <c r="N36" s="1777"/>
      <c r="O36" s="1777"/>
      <c r="P36" s="1777"/>
      <c r="Q36" s="1777"/>
      <c r="R36" s="1777"/>
      <c r="S36" s="1777"/>
      <c r="T36" s="1777"/>
      <c r="U36" s="1777"/>
      <c r="V36" s="1777"/>
      <c r="W36" s="1777"/>
      <c r="X36" s="1777"/>
      <c r="Y36" s="1777"/>
      <c r="Z36" s="1777"/>
      <c r="AA36" s="1777"/>
      <c r="AB36" s="1777"/>
      <c r="AC36" s="1777"/>
      <c r="AD36" s="1736"/>
      <c r="AE36" s="256"/>
      <c r="AF36" s="503"/>
    </row>
    <row r="37" spans="1:65" ht="3.95" customHeight="1">
      <c r="A37" s="1763"/>
      <c r="B37" s="1764"/>
      <c r="C37" s="1764"/>
      <c r="D37" s="1764"/>
      <c r="E37" s="1764"/>
      <c r="F37" s="1764"/>
      <c r="G37" s="1764"/>
      <c r="H37" s="1764"/>
      <c r="I37" s="1764"/>
      <c r="J37" s="1764"/>
      <c r="K37" s="1764"/>
      <c r="L37" s="1764"/>
      <c r="M37" s="1764"/>
      <c r="N37" s="1764"/>
      <c r="O37" s="1764"/>
      <c r="P37" s="1764"/>
      <c r="Q37" s="1764"/>
      <c r="R37" s="1764"/>
      <c r="S37" s="1764"/>
      <c r="T37" s="1764"/>
      <c r="U37" s="1764"/>
      <c r="V37" s="1764"/>
      <c r="W37" s="1764"/>
      <c r="X37" s="1764"/>
      <c r="Y37" s="1764"/>
      <c r="Z37" s="1764"/>
      <c r="AA37" s="1764"/>
      <c r="AB37" s="1764"/>
      <c r="AC37" s="1764"/>
      <c r="AD37" s="1764"/>
      <c r="AE37" s="1764"/>
      <c r="AF37" s="1765"/>
    </row>
    <row r="38" spans="1:65">
      <c r="A38" s="1766" t="s">
        <v>2731</v>
      </c>
      <c r="B38" s="1767"/>
      <c r="C38" s="1767"/>
      <c r="D38" s="1767"/>
      <c r="E38" s="1767"/>
      <c r="F38" s="1767"/>
      <c r="G38" s="1767"/>
      <c r="H38" s="1767"/>
      <c r="I38" s="1767"/>
      <c r="J38" s="1767"/>
      <c r="K38" s="1767"/>
      <c r="L38" s="1767"/>
      <c r="M38" s="1767"/>
      <c r="N38" s="1767"/>
      <c r="O38" s="1767"/>
      <c r="P38" s="1767"/>
      <c r="Q38" s="1767"/>
      <c r="R38" s="1767"/>
      <c r="S38" s="1767"/>
      <c r="T38" s="1767"/>
      <c r="U38" s="1767"/>
      <c r="V38" s="1767"/>
      <c r="W38" s="1767"/>
      <c r="X38" s="1767"/>
      <c r="Y38" s="1767"/>
      <c r="Z38" s="1767"/>
      <c r="AA38" s="1767"/>
      <c r="AB38" s="1767"/>
      <c r="AC38" s="1767"/>
      <c r="AD38" s="1767"/>
      <c r="AE38" s="1767"/>
      <c r="AF38" s="1768"/>
    </row>
    <row r="39" spans="1:65" ht="5.0999999999999996" customHeight="1">
      <c r="A39" s="1769"/>
      <c r="B39" s="1649"/>
      <c r="C39" s="1649"/>
      <c r="D39" s="1649"/>
      <c r="E39" s="1649"/>
      <c r="F39" s="1649"/>
      <c r="G39" s="1649"/>
      <c r="H39" s="1649"/>
      <c r="I39" s="1649"/>
      <c r="J39" s="1649"/>
      <c r="K39" s="1649"/>
      <c r="L39" s="1649"/>
      <c r="M39" s="1649"/>
      <c r="N39" s="1649"/>
      <c r="O39" s="1649"/>
      <c r="P39" s="1649"/>
      <c r="Q39" s="1649"/>
      <c r="R39" s="1649"/>
      <c r="S39" s="1649"/>
      <c r="T39" s="1649"/>
      <c r="U39" s="1649"/>
      <c r="V39" s="1649"/>
      <c r="W39" s="1649"/>
      <c r="X39" s="1649"/>
      <c r="Y39" s="1769"/>
      <c r="Z39" s="1649"/>
      <c r="AA39" s="1649"/>
      <c r="AB39" s="1649"/>
      <c r="AC39" s="1649"/>
      <c r="AD39" s="1649"/>
      <c r="AE39" s="1649"/>
      <c r="AF39" s="1770"/>
    </row>
    <row r="40" spans="1:65" ht="18" customHeight="1">
      <c r="A40" s="1725" t="s">
        <v>2533</v>
      </c>
      <c r="B40" s="1240"/>
      <c r="C40" s="1240"/>
      <c r="D40" s="1240"/>
      <c r="E40" s="1240"/>
      <c r="F40" s="1240"/>
      <c r="G40" s="924"/>
      <c r="H40" s="1735">
        <f>+'1Př1'!F23</f>
        <v>0</v>
      </c>
      <c r="I40" s="1731"/>
      <c r="J40" s="1731"/>
      <c r="K40" s="1731"/>
      <c r="L40" s="1731"/>
      <c r="M40" s="1042"/>
      <c r="N40" s="1696" t="s">
        <v>186</v>
      </c>
      <c r="O40" s="1240"/>
      <c r="P40" s="1240"/>
      <c r="Q40" s="1240"/>
      <c r="R40" s="1240"/>
      <c r="S40" s="1240"/>
      <c r="T40" s="1240"/>
      <c r="U40" s="1240"/>
      <c r="V40" s="1240"/>
      <c r="W40" s="1240"/>
      <c r="X40" s="924"/>
      <c r="Y40" s="1771" t="s">
        <v>2409</v>
      </c>
      <c r="Z40" s="1772"/>
      <c r="AA40" s="1772"/>
      <c r="AB40" s="1772"/>
      <c r="AC40" s="1772"/>
      <c r="AD40" s="1772"/>
      <c r="AE40" s="1772"/>
      <c r="AF40" s="1773"/>
    </row>
    <row r="41" spans="1:65" ht="4.5" customHeight="1">
      <c r="A41" s="1761"/>
      <c r="B41" s="1240"/>
      <c r="C41" s="1240"/>
      <c r="D41" s="1240"/>
      <c r="E41" s="1240"/>
      <c r="F41" s="1240"/>
      <c r="G41" s="1240"/>
      <c r="H41" s="1240"/>
      <c r="I41" s="1240"/>
      <c r="J41" s="1240"/>
      <c r="K41" s="1240"/>
      <c r="L41" s="1240"/>
      <c r="M41" s="1240"/>
      <c r="N41" s="1240"/>
      <c r="O41" s="1757"/>
      <c r="P41" s="1240"/>
      <c r="Q41" s="1240"/>
      <c r="R41" s="1240"/>
      <c r="S41" s="1240"/>
      <c r="T41" s="1757"/>
      <c r="U41" s="1240"/>
      <c r="V41" s="1240"/>
      <c r="W41" s="1700"/>
      <c r="X41" s="924"/>
      <c r="Y41" s="1761"/>
      <c r="Z41" s="1240"/>
      <c r="AA41" s="1240"/>
      <c r="AB41" s="1728"/>
      <c r="AC41" s="1240"/>
      <c r="AD41" s="1757"/>
      <c r="AE41" s="1240"/>
      <c r="AF41" s="924"/>
    </row>
    <row r="42" spans="1:65" ht="18" customHeight="1">
      <c r="A42" s="1725" t="s">
        <v>2534</v>
      </c>
      <c r="B42" s="1240"/>
      <c r="C42" s="1240"/>
      <c r="D42" s="1240"/>
      <c r="E42" s="1240"/>
      <c r="F42" s="1240"/>
      <c r="G42" s="1240"/>
      <c r="H42" s="1240"/>
      <c r="I42" s="1240"/>
      <c r="J42" s="1240"/>
      <c r="K42" s="1240"/>
      <c r="L42" s="1240"/>
      <c r="M42" s="1240"/>
      <c r="N42" s="1240"/>
      <c r="O42" s="924"/>
      <c r="P42" s="256">
        <f>+AU42</f>
        <v>12</v>
      </c>
      <c r="Q42" s="1725" t="s">
        <v>2641</v>
      </c>
      <c r="R42" s="1240"/>
      <c r="S42" s="1240"/>
      <c r="T42" s="924"/>
      <c r="U42" s="256">
        <f>+AU44</f>
        <v>0</v>
      </c>
      <c r="V42" s="1758" t="s">
        <v>2642</v>
      </c>
      <c r="W42" s="1759"/>
      <c r="X42" s="1760"/>
      <c r="Y42" s="515"/>
      <c r="Z42" s="513"/>
      <c r="AA42" s="1712" t="s">
        <v>2641</v>
      </c>
      <c r="AB42" s="1736"/>
      <c r="AC42" s="513"/>
      <c r="AD42" s="1762" t="s">
        <v>2642</v>
      </c>
      <c r="AE42" s="1240"/>
      <c r="AF42" s="1736"/>
      <c r="AH42" s="21">
        <f>+IF(EXACT(AE20,"X"),12,0)</f>
        <v>12</v>
      </c>
      <c r="AI42" s="21">
        <f>+IF(EXACT(G20,"X"),1,0)</f>
        <v>0</v>
      </c>
      <c r="AJ42" s="21">
        <f>+IF(EXACT(I20,"X"),1,0)</f>
        <v>0</v>
      </c>
      <c r="AK42" s="21">
        <f>+IF(EXACT(K20,"X"),1,0)</f>
        <v>0</v>
      </c>
      <c r="AL42" s="21">
        <f>+IF(EXACT(M20,"X"),1,0)</f>
        <v>0</v>
      </c>
      <c r="AM42" s="21">
        <f>+IF(EXACT(O20,"X"),1,0)</f>
        <v>0</v>
      </c>
      <c r="AN42" s="21">
        <f>+IF(EXACT(Q20,"X"),1,0)</f>
        <v>0</v>
      </c>
      <c r="AO42" s="21">
        <f>+IF(EXACT(S20,"X"),1,0)</f>
        <v>0</v>
      </c>
      <c r="AP42" s="21">
        <f>+IF(EXACT(U20,"X"),1,0)</f>
        <v>0</v>
      </c>
      <c r="AQ42" s="21">
        <f>+IF(EXACT(W20,"X"),1,0)</f>
        <v>0</v>
      </c>
      <c r="AR42" s="21">
        <f>+IF(EXACT(Y20,"X"),1,0)</f>
        <v>0</v>
      </c>
      <c r="AS42" s="21">
        <f>+IF(EXACT(AA20,"X"),1,0)</f>
        <v>0</v>
      </c>
      <c r="AT42" s="21">
        <f>+IF(EXACT(AC20,"X"),1,0)</f>
        <v>0</v>
      </c>
      <c r="AU42" s="21">
        <f>+IF(AH42=12,12,+SUM(AI42:AT42))</f>
        <v>12</v>
      </c>
    </row>
    <row r="43" spans="1:65" ht="4.5" customHeight="1">
      <c r="A43" s="1732"/>
      <c r="B43" s="1240"/>
      <c r="C43" s="1240"/>
      <c r="D43" s="1240"/>
      <c r="E43" s="1240"/>
      <c r="F43" s="1240"/>
      <c r="G43" s="1240"/>
      <c r="H43" s="1240"/>
      <c r="I43" s="1240"/>
      <c r="J43" s="1240"/>
      <c r="K43" s="1240"/>
      <c r="L43" s="1240"/>
      <c r="M43" s="1240"/>
      <c r="N43" s="1240"/>
      <c r="O43" s="1757"/>
      <c r="P43" s="1240"/>
      <c r="Q43" s="1240"/>
      <c r="R43" s="1240"/>
      <c r="S43" s="1240"/>
      <c r="T43" s="1757"/>
      <c r="U43" s="1240"/>
      <c r="V43" s="1240"/>
      <c r="W43" s="1700"/>
      <c r="X43" s="924"/>
      <c r="Y43" s="1761"/>
      <c r="Z43" s="1240"/>
      <c r="AA43" s="1240"/>
      <c r="AB43" s="1728"/>
      <c r="AC43" s="1240"/>
      <c r="AD43" s="1757"/>
      <c r="AE43" s="1240"/>
      <c r="AF43" s="924"/>
    </row>
    <row r="44" spans="1:65" s="499" customFormat="1" ht="18" customHeight="1">
      <c r="A44" s="1725" t="s">
        <v>2535</v>
      </c>
      <c r="B44" s="1240"/>
      <c r="C44" s="1240"/>
      <c r="D44" s="1240"/>
      <c r="E44" s="1240"/>
      <c r="F44" s="1240"/>
      <c r="G44" s="1240"/>
      <c r="H44" s="1240"/>
      <c r="I44" s="1240"/>
      <c r="J44" s="1240"/>
      <c r="K44" s="1240"/>
      <c r="L44" s="1240"/>
      <c r="M44" s="1240"/>
      <c r="N44" s="1240"/>
      <c r="O44" s="924"/>
      <c r="P44" s="256">
        <f>+P42</f>
        <v>12</v>
      </c>
      <c r="Q44" s="1725" t="s">
        <v>2641</v>
      </c>
      <c r="R44" s="1240"/>
      <c r="S44" s="1240"/>
      <c r="T44" s="924"/>
      <c r="U44" s="256">
        <f>+U42</f>
        <v>0</v>
      </c>
      <c r="V44" s="1758" t="s">
        <v>2642</v>
      </c>
      <c r="W44" s="1759"/>
      <c r="X44" s="1760"/>
      <c r="Y44" s="515"/>
      <c r="Z44" s="513"/>
      <c r="AA44" s="1712" t="s">
        <v>2641</v>
      </c>
      <c r="AB44" s="1736"/>
      <c r="AC44" s="513"/>
      <c r="AD44" s="1762" t="s">
        <v>2642</v>
      </c>
      <c r="AE44" s="1240"/>
      <c r="AF44" s="1736"/>
      <c r="AG44" s="97"/>
      <c r="AH44" s="21">
        <f>+IF(EXACT(AE22,"X"),12,0)</f>
        <v>0</v>
      </c>
      <c r="AI44" s="21">
        <f>+IF(EXACT(G22,"X"),1,0)</f>
        <v>0</v>
      </c>
      <c r="AJ44" s="21">
        <f>+IF(EXACT(I22,"X"),1,0)</f>
        <v>0</v>
      </c>
      <c r="AK44" s="21">
        <f>+IF(EXACT(K22,"X"),1,0)</f>
        <v>0</v>
      </c>
      <c r="AL44" s="21">
        <f>+IF(EXACT(M22,"X"),1,0)</f>
        <v>0</v>
      </c>
      <c r="AM44" s="21">
        <f>+IF(EXACT(O22,"X"),1,0)</f>
        <v>0</v>
      </c>
      <c r="AN44" s="21">
        <f>+IF(EXACT(Q22,"X"),1,0)</f>
        <v>0</v>
      </c>
      <c r="AO44" s="21">
        <f>+IF(EXACT(S22,"X"),1,0)</f>
        <v>0</v>
      </c>
      <c r="AP44" s="21">
        <f>+IF(EXACT(U22,"X"),1,0)</f>
        <v>0</v>
      </c>
      <c r="AQ44" s="21">
        <f>+IF(EXACT(W22,"X"),1,0)</f>
        <v>0</v>
      </c>
      <c r="AR44" s="21">
        <f>+IF(EXACT(Y22,"X"),1,0)</f>
        <v>0</v>
      </c>
      <c r="AS44" s="21">
        <f>+IF(EXACT(AA22,"X"),1,0)</f>
        <v>0</v>
      </c>
      <c r="AT44" s="21">
        <f>+IF(EXACT(AC22,"X"),1,0)</f>
        <v>0</v>
      </c>
      <c r="AU44" s="21">
        <f>+IF(AH44=12,12,+SUM(AI44:AT44))</f>
        <v>0</v>
      </c>
      <c r="AV44" s="97"/>
      <c r="AW44" s="97"/>
      <c r="AX44" s="97"/>
      <c r="AY44" s="97"/>
      <c r="AZ44" s="97"/>
      <c r="BA44" s="97"/>
      <c r="BB44" s="97"/>
      <c r="BC44" s="97"/>
      <c r="BD44" s="97"/>
      <c r="BE44" s="97"/>
      <c r="BF44" s="97"/>
      <c r="BG44" s="97"/>
      <c r="BH44" s="97"/>
      <c r="BI44" s="97"/>
      <c r="BJ44" s="97"/>
      <c r="BK44" s="97"/>
      <c r="BL44" s="97"/>
      <c r="BM44" s="97"/>
    </row>
    <row r="45" spans="1:65" ht="5.0999999999999996" customHeight="1">
      <c r="A45" s="1732"/>
      <c r="B45" s="1240"/>
      <c r="C45" s="1240"/>
      <c r="D45" s="1240"/>
      <c r="E45" s="1240"/>
      <c r="F45" s="1240"/>
      <c r="G45" s="1240"/>
      <c r="H45" s="1240"/>
      <c r="I45" s="1240"/>
      <c r="J45" s="1240"/>
      <c r="K45" s="1240"/>
      <c r="L45" s="1240"/>
      <c r="M45" s="1240"/>
      <c r="N45" s="1240"/>
      <c r="O45" s="1240"/>
      <c r="P45" s="1240"/>
      <c r="Q45" s="1240"/>
      <c r="R45" s="1240"/>
      <c r="S45" s="1240"/>
      <c r="T45" s="1240"/>
      <c r="U45" s="1240"/>
      <c r="V45" s="1240"/>
      <c r="W45" s="1240"/>
      <c r="X45" s="924"/>
      <c r="Y45" s="1753"/>
      <c r="Z45" s="1700"/>
      <c r="AA45" s="1700"/>
      <c r="AB45" s="1700"/>
      <c r="AC45" s="1700"/>
      <c r="AD45" s="1700"/>
      <c r="AE45" s="1700"/>
      <c r="AF45" s="1701"/>
    </row>
    <row r="46" spans="1:65" ht="18" customHeight="1">
      <c r="A46" s="1725" t="s">
        <v>2597</v>
      </c>
      <c r="B46" s="1240"/>
      <c r="C46" s="1240"/>
      <c r="D46" s="1240"/>
      <c r="E46" s="1240"/>
      <c r="F46" s="1240"/>
      <c r="G46" s="1240"/>
      <c r="H46" s="1754">
        <f>+ROUND(IF(P44+U44=0,0,H40/(P44+U44)),2)</f>
        <v>0</v>
      </c>
      <c r="I46" s="1755"/>
      <c r="J46" s="1755"/>
      <c r="K46" s="1755"/>
      <c r="L46" s="1755"/>
      <c r="M46" s="1756"/>
      <c r="N46" s="1696" t="s">
        <v>186</v>
      </c>
      <c r="O46" s="1240"/>
      <c r="P46" s="1240"/>
      <c r="Q46" s="1240"/>
      <c r="R46" s="1240"/>
      <c r="S46" s="1240"/>
      <c r="T46" s="1240"/>
      <c r="U46" s="1240"/>
      <c r="V46" s="1240"/>
      <c r="W46" s="1240"/>
      <c r="X46" s="924"/>
      <c r="Y46" s="1719"/>
      <c r="Z46" s="1240"/>
      <c r="AA46" s="1240"/>
      <c r="AB46" s="1240"/>
      <c r="AC46" s="1240"/>
      <c r="AD46" s="1240"/>
      <c r="AE46" s="1240"/>
      <c r="AF46" s="1736"/>
    </row>
    <row r="47" spans="1:65" ht="8.1" customHeight="1">
      <c r="A47" s="1732"/>
      <c r="B47" s="1240"/>
      <c r="C47" s="1240"/>
      <c r="D47" s="1240"/>
      <c r="E47" s="1240"/>
      <c r="F47" s="1240"/>
      <c r="G47" s="1240"/>
      <c r="H47" s="1748" t="s">
        <v>2374</v>
      </c>
      <c r="I47" s="1749"/>
      <c r="J47" s="1749"/>
      <c r="K47" s="1749"/>
      <c r="L47" s="1749"/>
      <c r="M47" s="1749"/>
      <c r="N47" s="516"/>
      <c r="O47" s="516"/>
      <c r="P47" s="1750" t="s">
        <v>2375</v>
      </c>
      <c r="Q47" s="1625"/>
      <c r="R47" s="1625"/>
      <c r="S47" s="1625"/>
      <c r="T47" s="1625"/>
      <c r="U47" s="1625"/>
      <c r="V47" s="1728"/>
      <c r="W47" s="1240"/>
      <c r="X47" s="1240"/>
      <c r="Y47" s="1752"/>
      <c r="Z47" s="1240"/>
      <c r="AA47" s="1240"/>
      <c r="AB47" s="1240"/>
      <c r="AC47" s="1240"/>
      <c r="AD47" s="1240"/>
      <c r="AE47" s="1240"/>
      <c r="AF47" s="1736"/>
    </row>
    <row r="48" spans="1:65" ht="18" customHeight="1">
      <c r="A48" s="1725" t="s">
        <v>2598</v>
      </c>
      <c r="B48" s="1240"/>
      <c r="C48" s="1240"/>
      <c r="D48" s="1240"/>
      <c r="E48" s="1240"/>
      <c r="F48" s="1240"/>
      <c r="G48" s="924"/>
      <c r="H48" s="1735">
        <f>IF(OR(EXACT("X",AA18),EXACT("x",AA18)),+H46*P44,0)</f>
        <v>0</v>
      </c>
      <c r="I48" s="1731"/>
      <c r="J48" s="1731"/>
      <c r="K48" s="1731"/>
      <c r="L48" s="1731"/>
      <c r="M48" s="1042"/>
      <c r="N48" s="1696" t="s">
        <v>186</v>
      </c>
      <c r="O48" s="924"/>
      <c r="P48" s="1735">
        <f>IF(OR(EXACT("X",AA18),EXACT("x",AA18)),+H46*U44,0)</f>
        <v>0</v>
      </c>
      <c r="Q48" s="1731"/>
      <c r="R48" s="1731"/>
      <c r="S48" s="1731"/>
      <c r="T48" s="1731"/>
      <c r="U48" s="1042"/>
      <c r="V48" s="1737" t="s">
        <v>186</v>
      </c>
      <c r="W48" s="1240"/>
      <c r="X48" s="1240"/>
      <c r="Y48" s="596"/>
      <c r="Z48" s="1697"/>
      <c r="AA48" s="1698"/>
      <c r="AB48" s="1698"/>
      <c r="AC48" s="1698"/>
      <c r="AD48" s="1698"/>
      <c r="AE48" s="1699"/>
      <c r="AF48" s="597" t="s">
        <v>186</v>
      </c>
      <c r="AH48" s="21">
        <f>+IF(EXACT(AE26,"X"),12,0)</f>
        <v>0</v>
      </c>
      <c r="AI48" s="21">
        <f>+IF(EXACT(G26,"X"),1,0)</f>
        <v>0</v>
      </c>
      <c r="AJ48" s="21">
        <f>+IF(EXACT(I26,"X"),1,0)</f>
        <v>0</v>
      </c>
      <c r="AK48" s="21">
        <f>+IF(EXACT(K26,"X"),1,0)</f>
        <v>0</v>
      </c>
      <c r="AL48" s="21">
        <f>+IF(EXACT(M26,"X"),1,0)</f>
        <v>0</v>
      </c>
      <c r="AM48" s="21">
        <f>+IF(EXACT(O26,"X"),1,0)</f>
        <v>0</v>
      </c>
      <c r="AN48" s="21">
        <f>+IF(EXACT(Q26,"X"),1,0)</f>
        <v>0</v>
      </c>
      <c r="AO48" s="21">
        <f>+IF(EXACT(S26,"X"),1,0)</f>
        <v>0</v>
      </c>
      <c r="AP48" s="21">
        <f>+IF(EXACT(U26,"X"),1,0)</f>
        <v>0</v>
      </c>
      <c r="AQ48" s="21">
        <f>+IF(EXACT(W26,"X"),1,0)</f>
        <v>0</v>
      </c>
      <c r="AR48" s="21">
        <f>+IF(EXACT(Y26,"X"),1,0)</f>
        <v>0</v>
      </c>
      <c r="AS48" s="21">
        <f>+IF(EXACT(AA26,"X"),1,0)</f>
        <v>0</v>
      </c>
      <c r="AT48" s="21">
        <f>+IF(EXACT(AC26,"X"),1,0)</f>
        <v>0</v>
      </c>
      <c r="AU48" s="21">
        <f>+IF(AH48=12,12,+SUM(AI48:AT48))</f>
        <v>0</v>
      </c>
    </row>
    <row r="49" spans="1:32" ht="8.1" customHeight="1">
      <c r="A49" s="1732"/>
      <c r="B49" s="1240"/>
      <c r="C49" s="1240"/>
      <c r="D49" s="1240"/>
      <c r="E49" s="1240"/>
      <c r="F49" s="1240"/>
      <c r="G49" s="1240"/>
      <c r="H49" s="1748" t="s">
        <v>2374</v>
      </c>
      <c r="I49" s="1749"/>
      <c r="J49" s="1749"/>
      <c r="K49" s="1749"/>
      <c r="L49" s="1749"/>
      <c r="M49" s="1749"/>
      <c r="N49" s="516"/>
      <c r="O49" s="516"/>
      <c r="P49" s="1750" t="s">
        <v>2375</v>
      </c>
      <c r="Q49" s="1625"/>
      <c r="R49" s="1625"/>
      <c r="S49" s="1625"/>
      <c r="T49" s="1625"/>
      <c r="U49" s="1625"/>
      <c r="V49" s="1728"/>
      <c r="W49" s="1240"/>
      <c r="X49" s="1240"/>
      <c r="Y49" s="1702"/>
      <c r="Z49" s="1700"/>
      <c r="AA49" s="1700"/>
      <c r="AB49" s="1700"/>
      <c r="AC49" s="1700"/>
      <c r="AD49" s="1700"/>
      <c r="AE49" s="1700"/>
      <c r="AF49" s="1703"/>
    </row>
    <row r="50" spans="1:32" ht="18" customHeight="1">
      <c r="A50" s="1725" t="s">
        <v>2599</v>
      </c>
      <c r="B50" s="1240"/>
      <c r="C50" s="1240"/>
      <c r="D50" s="1240"/>
      <c r="E50" s="1240"/>
      <c r="F50" s="1240"/>
      <c r="G50" s="924"/>
      <c r="H50" s="1751">
        <f>+IF(OR(EXACT(O18,"X"),EXACT(O18,"x")),CEILING(H40*0.55,1),CEILING(+H48*0.55,1))</f>
        <v>0</v>
      </c>
      <c r="I50" s="1698"/>
      <c r="J50" s="1698"/>
      <c r="K50" s="1698"/>
      <c r="L50" s="1698"/>
      <c r="M50" s="1699"/>
      <c r="N50" s="1721" t="s">
        <v>186</v>
      </c>
      <c r="O50" s="1736"/>
      <c r="P50" s="1751">
        <f>+IF(OR(EXACT(U18,"X"),EXACT(U18,"x")),ROUND(H40*0.55,0),ROUND(+P48*0.55,0))</f>
        <v>0</v>
      </c>
      <c r="Q50" s="1698"/>
      <c r="R50" s="1698"/>
      <c r="S50" s="1698"/>
      <c r="T50" s="1698"/>
      <c r="U50" s="1699"/>
      <c r="V50" s="1737" t="s">
        <v>186</v>
      </c>
      <c r="W50" s="1240"/>
      <c r="X50" s="1240"/>
      <c r="Y50" s="596"/>
      <c r="Z50" s="1697"/>
      <c r="AA50" s="1698"/>
      <c r="AB50" s="1698"/>
      <c r="AC50" s="1698"/>
      <c r="AD50" s="1698"/>
      <c r="AE50" s="1699"/>
      <c r="AF50" s="597" t="s">
        <v>186</v>
      </c>
    </row>
    <row r="51" spans="1:32" ht="8.1" customHeight="1">
      <c r="A51" s="1732"/>
      <c r="B51" s="1240"/>
      <c r="C51" s="1240"/>
      <c r="D51" s="1240"/>
      <c r="E51" s="1240"/>
      <c r="F51" s="1240"/>
      <c r="G51" s="1240"/>
      <c r="H51" s="1748" t="s">
        <v>2374</v>
      </c>
      <c r="I51" s="1749"/>
      <c r="J51" s="1749"/>
      <c r="K51" s="1749"/>
      <c r="L51" s="1749"/>
      <c r="M51" s="1749"/>
      <c r="N51" s="516"/>
      <c r="O51" s="516"/>
      <c r="P51" s="1750" t="s">
        <v>2375</v>
      </c>
      <c r="Q51" s="1625"/>
      <c r="R51" s="1625"/>
      <c r="S51" s="1625"/>
      <c r="T51" s="1625"/>
      <c r="U51" s="1625"/>
      <c r="V51" s="1728"/>
      <c r="W51" s="1240"/>
      <c r="X51" s="1240"/>
      <c r="Y51" s="1702"/>
      <c r="Z51" s="1700"/>
      <c r="AA51" s="1700"/>
      <c r="AB51" s="1700"/>
      <c r="AC51" s="1700"/>
      <c r="AD51" s="1700"/>
      <c r="AE51" s="1700"/>
      <c r="AF51" s="1703"/>
    </row>
    <row r="52" spans="1:32" ht="18" customHeight="1">
      <c r="A52" s="1725" t="s">
        <v>2600</v>
      </c>
      <c r="B52" s="1240"/>
      <c r="C52" s="1240"/>
      <c r="D52" s="1240"/>
      <c r="E52" s="1240"/>
      <c r="F52" s="1240"/>
      <c r="G52" s="924"/>
      <c r="H52" s="1722">
        <f>(IF(OR(EXACT(AA18,"X"),EXACT(AA18,"x")),+IF(P42&gt;0,IF(OR(EXACT(AE28,"X"),EXACT(AE28,"x")),11640*P44,16295*P44),0),0))</f>
        <v>0</v>
      </c>
      <c r="I52" s="1694"/>
      <c r="J52" s="1694"/>
      <c r="K52" s="1694"/>
      <c r="L52" s="1694"/>
      <c r="M52" s="1695"/>
      <c r="N52" s="1721" t="s">
        <v>186</v>
      </c>
      <c r="O52" s="1736"/>
      <c r="P52" s="1722">
        <f>(IF(OR(EXACT(AA18,"X"),EXACT(AA18,"x")),+IF(U42&gt;0,5122*U44,0),0))</f>
        <v>0</v>
      </c>
      <c r="Q52" s="1694"/>
      <c r="R52" s="1694"/>
      <c r="S52" s="1694"/>
      <c r="T52" s="1694"/>
      <c r="U52" s="1695"/>
      <c r="V52" s="1737" t="s">
        <v>186</v>
      </c>
      <c r="W52" s="1240"/>
      <c r="X52" s="1240"/>
      <c r="Y52" s="596"/>
      <c r="Z52" s="1697"/>
      <c r="AA52" s="1698"/>
      <c r="AB52" s="1698"/>
      <c r="AC52" s="1698"/>
      <c r="AD52" s="1698"/>
      <c r="AE52" s="1699"/>
      <c r="AF52" s="597" t="s">
        <v>186</v>
      </c>
    </row>
    <row r="53" spans="1:32" ht="8.1" customHeight="1">
      <c r="A53" s="1732"/>
      <c r="B53" s="1240"/>
      <c r="C53" s="1240"/>
      <c r="D53" s="1240"/>
      <c r="E53" s="1240"/>
      <c r="F53" s="1240"/>
      <c r="G53" s="1240"/>
      <c r="H53" s="1240"/>
      <c r="I53" s="1240"/>
      <c r="J53" s="1240"/>
      <c r="K53" s="1240"/>
      <c r="L53" s="1240"/>
      <c r="M53" s="1240"/>
      <c r="N53" s="1240"/>
      <c r="O53" s="1240"/>
      <c r="P53" s="1240"/>
      <c r="Q53" s="1240"/>
      <c r="R53" s="1240"/>
      <c r="S53" s="1240"/>
      <c r="T53" s="1240"/>
      <c r="U53" s="1240"/>
      <c r="V53" s="1240"/>
      <c r="W53" s="1240"/>
      <c r="X53" s="924"/>
      <c r="Y53" s="1702"/>
      <c r="Z53" s="1700"/>
      <c r="AA53" s="1700"/>
      <c r="AB53" s="1700"/>
      <c r="AC53" s="1700"/>
      <c r="AD53" s="1700"/>
      <c r="AE53" s="1700"/>
      <c r="AF53" s="1703"/>
    </row>
    <row r="54" spans="1:32" ht="18" customHeight="1">
      <c r="A54" s="1725" t="s">
        <v>2601</v>
      </c>
      <c r="B54" s="1240"/>
      <c r="C54" s="1240"/>
      <c r="D54" s="1240"/>
      <c r="E54" s="1240"/>
      <c r="F54" s="1240"/>
      <c r="G54" s="924"/>
      <c r="H54" s="1722">
        <f>MIN(IF(OR(EXACT(O18,"X"),EXACT(O18,"x")),MAX(IF(OR(EXACT(AE28,"X"),EXACT(AE28,"x")),11640*P44,16295*P44),H50),IF(OR(EXACT(U18,"X"),EXACT(U18,"x")),MAX(+U44*5122,P50),+MAX(H52,H50)+MAX(+P52,P50))),2234736)</f>
        <v>195540</v>
      </c>
      <c r="I54" s="1694"/>
      <c r="J54" s="1694"/>
      <c r="K54" s="1694"/>
      <c r="L54" s="1694"/>
      <c r="M54" s="1695"/>
      <c r="N54" s="1696" t="s">
        <v>186</v>
      </c>
      <c r="O54" s="1240"/>
      <c r="P54" s="1738" t="s">
        <v>2694</v>
      </c>
      <c r="Q54" s="1739"/>
      <c r="R54" s="1739"/>
      <c r="S54" s="1739"/>
      <c r="T54" s="1739"/>
      <c r="U54" s="1740"/>
      <c r="V54" s="1746"/>
      <c r="W54" s="1240"/>
      <c r="X54" s="924"/>
      <c r="Y54" s="596"/>
      <c r="Z54" s="1697"/>
      <c r="AA54" s="1698"/>
      <c r="AB54" s="1698"/>
      <c r="AC54" s="1698"/>
      <c r="AD54" s="1698"/>
      <c r="AE54" s="1699"/>
      <c r="AF54" s="597" t="s">
        <v>186</v>
      </c>
    </row>
    <row r="55" spans="1:32" ht="6.95" customHeight="1">
      <c r="A55" s="1732"/>
      <c r="B55" s="1240"/>
      <c r="C55" s="1240"/>
      <c r="D55" s="1240"/>
      <c r="E55" s="1240"/>
      <c r="F55" s="1240"/>
      <c r="G55" s="1240"/>
      <c r="H55" s="1733"/>
      <c r="I55" s="822"/>
      <c r="J55" s="822"/>
      <c r="K55" s="822"/>
      <c r="L55" s="822"/>
      <c r="M55" s="822"/>
      <c r="N55" s="1240"/>
      <c r="O55" s="1734"/>
      <c r="P55" s="1741"/>
      <c r="Q55" s="893"/>
      <c r="R55" s="893"/>
      <c r="S55" s="893"/>
      <c r="T55" s="893"/>
      <c r="U55" s="1742"/>
      <c r="V55" s="1747"/>
      <c r="W55" s="1240"/>
      <c r="X55" s="924"/>
      <c r="Y55" s="1702"/>
      <c r="Z55" s="1700"/>
      <c r="AA55" s="1700"/>
      <c r="AB55" s="1700"/>
      <c r="AC55" s="1700"/>
      <c r="AD55" s="1700"/>
      <c r="AE55" s="1700"/>
      <c r="AF55" s="1703"/>
    </row>
    <row r="56" spans="1:32" ht="18" customHeight="1">
      <c r="A56" s="1725" t="s">
        <v>2602</v>
      </c>
      <c r="B56" s="1240"/>
      <c r="C56" s="1240"/>
      <c r="D56" s="1240"/>
      <c r="E56" s="1240"/>
      <c r="F56" s="1240"/>
      <c r="G56" s="924"/>
      <c r="H56" s="1735">
        <f>+H54</f>
        <v>195540</v>
      </c>
      <c r="I56" s="1731"/>
      <c r="J56" s="1731"/>
      <c r="K56" s="1731"/>
      <c r="L56" s="1731"/>
      <c r="M56" s="1042"/>
      <c r="N56" s="1696" t="s">
        <v>186</v>
      </c>
      <c r="O56" s="1240"/>
      <c r="P56" s="1741"/>
      <c r="Q56" s="893"/>
      <c r="R56" s="893"/>
      <c r="S56" s="893"/>
      <c r="T56" s="893"/>
      <c r="U56" s="1742"/>
      <c r="V56" s="1747"/>
      <c r="W56" s="1240"/>
      <c r="X56" s="924"/>
      <c r="Y56" s="596"/>
      <c r="Z56" s="1697"/>
      <c r="AA56" s="1698"/>
      <c r="AB56" s="1698"/>
      <c r="AC56" s="1698"/>
      <c r="AD56" s="1698"/>
      <c r="AE56" s="1699"/>
      <c r="AF56" s="597" t="s">
        <v>186</v>
      </c>
    </row>
    <row r="57" spans="1:32" ht="7.5" customHeight="1">
      <c r="A57" s="1732"/>
      <c r="B57" s="1240"/>
      <c r="C57" s="1240"/>
      <c r="D57" s="1240"/>
      <c r="E57" s="1240"/>
      <c r="F57" s="1240"/>
      <c r="G57" s="1240"/>
      <c r="H57" s="1733"/>
      <c r="I57" s="822"/>
      <c r="J57" s="822"/>
      <c r="K57" s="822"/>
      <c r="L57" s="822"/>
      <c r="M57" s="822"/>
      <c r="N57" s="1240"/>
      <c r="O57" s="1734"/>
      <c r="P57" s="1741"/>
      <c r="Q57" s="893"/>
      <c r="R57" s="893"/>
      <c r="S57" s="893"/>
      <c r="T57" s="893"/>
      <c r="U57" s="1742"/>
      <c r="V57" s="1747"/>
      <c r="W57" s="1240"/>
      <c r="X57" s="924"/>
      <c r="Y57" s="1702"/>
      <c r="Z57" s="1700"/>
      <c r="AA57" s="1700"/>
      <c r="AB57" s="1700"/>
      <c r="AC57" s="1700"/>
      <c r="AD57" s="1700"/>
      <c r="AE57" s="1700"/>
      <c r="AF57" s="1703"/>
    </row>
    <row r="58" spans="1:32" ht="18" customHeight="1">
      <c r="A58" s="1725" t="s">
        <v>2603</v>
      </c>
      <c r="B58" s="1240"/>
      <c r="C58" s="1240"/>
      <c r="D58" s="1240"/>
      <c r="E58" s="1240"/>
      <c r="F58" s="1240"/>
      <c r="G58" s="924"/>
      <c r="H58" s="1722">
        <f>+IF('DAP2'!E4+H56&gt;2234736,'DAP2'!E4,0)</f>
        <v>0</v>
      </c>
      <c r="I58" s="1723"/>
      <c r="J58" s="1723"/>
      <c r="K58" s="1723"/>
      <c r="L58" s="1723"/>
      <c r="M58" s="1724"/>
      <c r="N58" s="1696" t="s">
        <v>186</v>
      </c>
      <c r="O58" s="1240"/>
      <c r="P58" s="1743"/>
      <c r="Q58" s="1744"/>
      <c r="R58" s="1744"/>
      <c r="S58" s="1744"/>
      <c r="T58" s="1744"/>
      <c r="U58" s="1745"/>
      <c r="V58" s="1747"/>
      <c r="W58" s="1240"/>
      <c r="X58" s="924"/>
      <c r="Y58" s="596"/>
      <c r="Z58" s="1697"/>
      <c r="AA58" s="1698"/>
      <c r="AB58" s="1698"/>
      <c r="AC58" s="1698"/>
      <c r="AD58" s="1698"/>
      <c r="AE58" s="1699"/>
      <c r="AF58" s="597" t="s">
        <v>186</v>
      </c>
    </row>
    <row r="59" spans="1:32" ht="7.5" customHeight="1">
      <c r="A59" s="1732"/>
      <c r="B59" s="1240"/>
      <c r="C59" s="1240"/>
      <c r="D59" s="1240"/>
      <c r="E59" s="1240"/>
      <c r="F59" s="1240"/>
      <c r="G59" s="1240"/>
      <c r="H59" s="1240"/>
      <c r="I59" s="1240"/>
      <c r="J59" s="1240"/>
      <c r="K59" s="1240"/>
      <c r="L59" s="1240"/>
      <c r="M59" s="1240"/>
      <c r="N59" s="1240"/>
      <c r="O59" s="1240"/>
      <c r="P59" s="1240"/>
      <c r="Q59" s="1240"/>
      <c r="R59" s="1240"/>
      <c r="S59" s="1240"/>
      <c r="T59" s="1240"/>
      <c r="U59" s="1240"/>
      <c r="V59" s="1240"/>
      <c r="W59" s="1240"/>
      <c r="X59" s="924"/>
      <c r="Y59" s="1702"/>
      <c r="Z59" s="1700"/>
      <c r="AA59" s="1700"/>
      <c r="AB59" s="1700"/>
      <c r="AC59" s="1700"/>
      <c r="AD59" s="1700"/>
      <c r="AE59" s="1700"/>
      <c r="AF59" s="1703"/>
    </row>
    <row r="60" spans="1:32" ht="18.75" customHeight="1">
      <c r="A60" s="1725" t="s">
        <v>2604</v>
      </c>
      <c r="B60" s="1240"/>
      <c r="C60" s="1240"/>
      <c r="D60" s="1240"/>
      <c r="E60" s="1240"/>
      <c r="F60" s="1240"/>
      <c r="G60" s="924"/>
      <c r="H60" s="1730">
        <f>+H58+H56</f>
        <v>195540</v>
      </c>
      <c r="I60" s="1731"/>
      <c r="J60" s="1731"/>
      <c r="K60" s="1731"/>
      <c r="L60" s="1731"/>
      <c r="M60" s="1042"/>
      <c r="N60" s="1696" t="s">
        <v>186</v>
      </c>
      <c r="O60" s="1240"/>
      <c r="P60" s="1240"/>
      <c r="Q60" s="1240"/>
      <c r="R60" s="1240"/>
      <c r="S60" s="1240"/>
      <c r="T60" s="1240"/>
      <c r="U60" s="1240"/>
      <c r="V60" s="1240"/>
      <c r="W60" s="1240"/>
      <c r="X60" s="924"/>
      <c r="Y60" s="596"/>
      <c r="Z60" s="1697"/>
      <c r="AA60" s="1698"/>
      <c r="AB60" s="1698"/>
      <c r="AC60" s="1698"/>
      <c r="AD60" s="1698"/>
      <c r="AE60" s="1699"/>
      <c r="AF60" s="597" t="s">
        <v>186</v>
      </c>
    </row>
    <row r="61" spans="1:32" ht="6.75" customHeight="1">
      <c r="A61" s="1732"/>
      <c r="B61" s="1240"/>
      <c r="C61" s="1240"/>
      <c r="D61" s="1240"/>
      <c r="E61" s="1240"/>
      <c r="F61" s="1240"/>
      <c r="G61" s="1240"/>
      <c r="H61" s="1240"/>
      <c r="I61" s="1240"/>
      <c r="J61" s="1240"/>
      <c r="K61" s="1240"/>
      <c r="L61" s="1240"/>
      <c r="M61" s="1240"/>
      <c r="N61" s="1240"/>
      <c r="O61" s="1240"/>
      <c r="P61" s="1240"/>
      <c r="Q61" s="1240"/>
      <c r="R61" s="1240"/>
      <c r="S61" s="1240"/>
      <c r="T61" s="1240"/>
      <c r="U61" s="1240"/>
      <c r="V61" s="1240"/>
      <c r="W61" s="1240"/>
      <c r="X61" s="924"/>
      <c r="Y61" s="1702"/>
      <c r="Z61" s="1700"/>
      <c r="AA61" s="1700"/>
      <c r="AB61" s="1700"/>
      <c r="AC61" s="1700"/>
      <c r="AD61" s="1700"/>
      <c r="AE61" s="1700"/>
      <c r="AF61" s="1703"/>
    </row>
    <row r="62" spans="1:32" ht="18.95" customHeight="1">
      <c r="A62" s="1725" t="s">
        <v>2605</v>
      </c>
      <c r="B62" s="1240"/>
      <c r="C62" s="1240"/>
      <c r="D62" s="1240"/>
      <c r="E62" s="1240"/>
      <c r="F62" s="1240"/>
      <c r="G62" s="924"/>
      <c r="H62" s="1693">
        <f>IF(H60&lt;2234736,H56,MAX(0,2234736-H58))</f>
        <v>195540</v>
      </c>
      <c r="I62" s="1694"/>
      <c r="J62" s="1694"/>
      <c r="K62" s="1694"/>
      <c r="L62" s="1694"/>
      <c r="M62" s="1695"/>
      <c r="N62" s="1696" t="s">
        <v>186</v>
      </c>
      <c r="O62" s="1240"/>
      <c r="P62" s="1240"/>
      <c r="Q62" s="1240"/>
      <c r="R62" s="1240"/>
      <c r="S62" s="1240"/>
      <c r="T62" s="1240"/>
      <c r="U62" s="1240"/>
      <c r="V62" s="1240"/>
      <c r="W62" s="1240"/>
      <c r="X62" s="924"/>
      <c r="Y62" s="596"/>
      <c r="Z62" s="1697"/>
      <c r="AA62" s="1698"/>
      <c r="AB62" s="1698"/>
      <c r="AC62" s="1698"/>
      <c r="AD62" s="1698"/>
      <c r="AE62" s="1699"/>
      <c r="AF62" s="597" t="s">
        <v>186</v>
      </c>
    </row>
    <row r="63" spans="1:32" ht="12" customHeight="1">
      <c r="A63" s="1719"/>
      <c r="B63" s="1240"/>
      <c r="C63" s="1240"/>
      <c r="D63" s="1240"/>
      <c r="E63" s="1240"/>
      <c r="F63" s="1240"/>
      <c r="G63" s="1240"/>
      <c r="H63" s="1240"/>
      <c r="I63" s="1240"/>
      <c r="J63" s="1240"/>
      <c r="K63" s="1240"/>
      <c r="L63" s="1240"/>
      <c r="M63" s="1240"/>
      <c r="N63" s="1240"/>
      <c r="O63" s="1240"/>
      <c r="P63" s="1726" t="s">
        <v>2740</v>
      </c>
      <c r="Q63" s="1727"/>
      <c r="R63" s="1727"/>
      <c r="S63" s="1727"/>
      <c r="T63" s="1727"/>
      <c r="U63" s="1727"/>
      <c r="V63" s="1728"/>
      <c r="W63" s="1240"/>
      <c r="X63" s="1240"/>
      <c r="Y63" s="1702"/>
      <c r="Z63" s="1700"/>
      <c r="AA63" s="1700"/>
      <c r="AB63" s="1700"/>
      <c r="AC63" s="1700"/>
      <c r="AD63" s="1700"/>
      <c r="AE63" s="1700"/>
      <c r="AF63" s="1703"/>
    </row>
    <row r="64" spans="1:32" ht="18.95" customHeight="1">
      <c r="A64" s="1712" t="s">
        <v>2741</v>
      </c>
      <c r="B64" s="1240"/>
      <c r="C64" s="1240"/>
      <c r="D64" s="1240"/>
      <c r="E64" s="1240"/>
      <c r="F64" s="1240"/>
      <c r="G64" s="924"/>
      <c r="H64" s="1693">
        <f>+CEILING(H62*0.292,1)</f>
        <v>57098</v>
      </c>
      <c r="I64" s="1694"/>
      <c r="J64" s="1694"/>
      <c r="K64" s="1694"/>
      <c r="L64" s="1694"/>
      <c r="M64" s="1695"/>
      <c r="N64" s="1721" t="s">
        <v>186</v>
      </c>
      <c r="O64" s="924"/>
      <c r="P64" s="1693">
        <f>+CEILING(0.065*H62*AU48/(P42+U42),1)</f>
        <v>0</v>
      </c>
      <c r="Q64" s="1694"/>
      <c r="R64" s="1694"/>
      <c r="S64" s="1694"/>
      <c r="T64" s="1694"/>
      <c r="U64" s="1695"/>
      <c r="V64" s="1721" t="s">
        <v>186</v>
      </c>
      <c r="W64" s="1240"/>
      <c r="X64" s="924"/>
      <c r="Y64" s="596"/>
      <c r="Z64" s="1697"/>
      <c r="AA64" s="1698"/>
      <c r="AB64" s="1698"/>
      <c r="AC64" s="1698"/>
      <c r="AD64" s="1698"/>
      <c r="AE64" s="1699"/>
      <c r="AF64" s="597" t="s">
        <v>186</v>
      </c>
    </row>
    <row r="65" spans="1:41" ht="12" customHeight="1">
      <c r="A65" s="1719"/>
      <c r="B65" s="1240"/>
      <c r="C65" s="1240"/>
      <c r="D65" s="1240"/>
      <c r="E65" s="1240"/>
      <c r="F65" s="1240"/>
      <c r="G65" s="1240"/>
      <c r="H65" s="1240"/>
      <c r="I65" s="1240"/>
      <c r="J65" s="1240"/>
      <c r="K65" s="1240"/>
      <c r="L65" s="1240"/>
      <c r="M65" s="1240"/>
      <c r="N65" s="1240"/>
      <c r="O65" s="1240"/>
      <c r="P65" s="1729" t="s">
        <v>2606</v>
      </c>
      <c r="Q65" s="1335"/>
      <c r="R65" s="1335"/>
      <c r="S65" s="1335"/>
      <c r="T65" s="1335"/>
      <c r="U65" s="1335"/>
      <c r="V65" s="1240"/>
      <c r="W65" s="1240"/>
      <c r="X65" s="924"/>
      <c r="Y65" s="1702"/>
      <c r="Z65" s="1700"/>
      <c r="AA65" s="1700"/>
      <c r="AB65" s="1700"/>
      <c r="AC65" s="1700"/>
      <c r="AD65" s="1700"/>
      <c r="AE65" s="1700"/>
      <c r="AF65" s="1703"/>
    </row>
    <row r="66" spans="1:41" ht="18.95" customHeight="1">
      <c r="A66" s="1712" t="s">
        <v>2742</v>
      </c>
      <c r="B66" s="1713"/>
      <c r="C66" s="1713"/>
      <c r="D66" s="1713"/>
      <c r="E66" s="1713"/>
      <c r="F66" s="1713"/>
      <c r="G66" s="1714"/>
      <c r="H66" s="1693">
        <f>+H64-P64</f>
        <v>57098</v>
      </c>
      <c r="I66" s="1715"/>
      <c r="J66" s="1715"/>
      <c r="K66" s="1715"/>
      <c r="L66" s="1715"/>
      <c r="M66" s="1716"/>
      <c r="N66" s="1721" t="s">
        <v>186</v>
      </c>
      <c r="O66" s="924"/>
      <c r="P66" s="1722">
        <v>0</v>
      </c>
      <c r="Q66" s="1723"/>
      <c r="R66" s="1723"/>
      <c r="S66" s="1723"/>
      <c r="T66" s="1723"/>
      <c r="U66" s="1724"/>
      <c r="V66" s="1721" t="s">
        <v>186</v>
      </c>
      <c r="W66" s="1240"/>
      <c r="X66" s="924"/>
      <c r="Y66" s="596"/>
      <c r="Z66" s="1697"/>
      <c r="AA66" s="1717"/>
      <c r="AB66" s="1717"/>
      <c r="AC66" s="1717"/>
      <c r="AD66" s="1717"/>
      <c r="AE66" s="1718"/>
      <c r="AF66" s="597" t="s">
        <v>186</v>
      </c>
    </row>
    <row r="67" spans="1:41" ht="7.5" customHeight="1">
      <c r="A67" s="1719"/>
      <c r="B67" s="1240"/>
      <c r="C67" s="1240"/>
      <c r="D67" s="1240"/>
      <c r="E67" s="1240"/>
      <c r="F67" s="1240"/>
      <c r="G67" s="1240"/>
      <c r="H67" s="1240"/>
      <c r="I67" s="1240"/>
      <c r="J67" s="1240"/>
      <c r="K67" s="1240"/>
      <c r="L67" s="1240"/>
      <c r="M67" s="1240"/>
      <c r="N67" s="1240"/>
      <c r="O67" s="1240"/>
      <c r="P67" s="1240"/>
      <c r="Q67" s="1240"/>
      <c r="R67" s="1240"/>
      <c r="S67" s="1240"/>
      <c r="T67" s="1240"/>
      <c r="U67" s="1240"/>
      <c r="V67" s="1240"/>
      <c r="W67" s="1240"/>
      <c r="X67" s="924"/>
      <c r="Y67" s="1702"/>
      <c r="Z67" s="1700"/>
      <c r="AA67" s="1700"/>
      <c r="AB67" s="1700"/>
      <c r="AC67" s="1700"/>
      <c r="AD67" s="1700"/>
      <c r="AE67" s="1700"/>
      <c r="AF67" s="1703"/>
    </row>
    <row r="68" spans="1:41" ht="18.95" customHeight="1">
      <c r="A68" s="1690" t="s">
        <v>2607</v>
      </c>
      <c r="B68" s="1691"/>
      <c r="C68" s="1691"/>
      <c r="D68" s="893"/>
      <c r="E68" s="893"/>
      <c r="F68" s="893"/>
      <c r="G68" s="893"/>
      <c r="H68" s="1693">
        <f>+H66-P66</f>
        <v>57098</v>
      </c>
      <c r="I68" s="1694"/>
      <c r="J68" s="1694"/>
      <c r="K68" s="1694"/>
      <c r="L68" s="1694"/>
      <c r="M68" s="1695"/>
      <c r="N68" s="1696" t="s">
        <v>186</v>
      </c>
      <c r="O68" s="1240"/>
      <c r="P68" s="1240"/>
      <c r="Q68" s="1240"/>
      <c r="R68" s="1240"/>
      <c r="S68" s="1240"/>
      <c r="T68" s="1240"/>
      <c r="U68" s="1240"/>
      <c r="V68" s="1240"/>
      <c r="W68" s="1240"/>
      <c r="X68" s="924"/>
      <c r="Y68" s="596"/>
      <c r="Z68" s="1697"/>
      <c r="AA68" s="1698"/>
      <c r="AB68" s="1698"/>
      <c r="AC68" s="1698"/>
      <c r="AD68" s="1698"/>
      <c r="AE68" s="1699"/>
      <c r="AF68" s="597" t="s">
        <v>186</v>
      </c>
    </row>
    <row r="69" spans="1:41" ht="7.5" customHeight="1">
      <c r="A69" s="1692"/>
      <c r="B69" s="1691"/>
      <c r="C69" s="1691"/>
      <c r="D69" s="893"/>
      <c r="E69" s="893"/>
      <c r="F69" s="893"/>
      <c r="G69" s="893"/>
      <c r="H69" s="1700"/>
      <c r="I69" s="1700"/>
      <c r="J69" s="1700"/>
      <c r="K69" s="1700"/>
      <c r="L69" s="1700"/>
      <c r="M69" s="1700"/>
      <c r="N69" s="1700"/>
      <c r="O69" s="1700"/>
      <c r="P69" s="1700"/>
      <c r="Q69" s="1700"/>
      <c r="R69" s="1700"/>
      <c r="S69" s="1700"/>
      <c r="T69" s="1700"/>
      <c r="U69" s="1700"/>
      <c r="V69" s="1700"/>
      <c r="W69" s="1700"/>
      <c r="X69" s="1701"/>
      <c r="Y69" s="1702"/>
      <c r="Z69" s="1700"/>
      <c r="AA69" s="1700"/>
      <c r="AB69" s="1700"/>
      <c r="AC69" s="1700"/>
      <c r="AD69" s="1700"/>
      <c r="AE69" s="1700"/>
      <c r="AF69" s="1703"/>
    </row>
    <row r="70" spans="1:41" ht="12.95" customHeight="1">
      <c r="A70" s="1706" t="s">
        <v>2732</v>
      </c>
      <c r="B70" s="1698"/>
      <c r="C70" s="1698"/>
      <c r="D70" s="1698"/>
      <c r="E70" s="1698"/>
      <c r="F70" s="1698"/>
      <c r="G70" s="1698"/>
      <c r="H70" s="1698"/>
      <c r="I70" s="1698"/>
      <c r="J70" s="1698"/>
      <c r="K70" s="1698"/>
      <c r="L70" s="1698"/>
      <c r="M70" s="1698"/>
      <c r="N70" s="1698"/>
      <c r="O70" s="1698"/>
      <c r="P70" s="1698"/>
      <c r="Q70" s="1698"/>
      <c r="R70" s="1698"/>
      <c r="S70" s="1698"/>
      <c r="T70" s="1698"/>
      <c r="U70" s="1698"/>
      <c r="V70" s="1698"/>
      <c r="W70" s="1698"/>
      <c r="X70" s="1698"/>
      <c r="Y70" s="1698"/>
      <c r="Z70" s="1698"/>
      <c r="AA70" s="1698"/>
      <c r="AB70" s="1698"/>
      <c r="AC70" s="1698"/>
      <c r="AD70" s="1698"/>
      <c r="AE70" s="1698"/>
      <c r="AF70" s="1699"/>
      <c r="AH70" s="569"/>
      <c r="AI70" s="569"/>
      <c r="AJ70" s="569"/>
      <c r="AK70" s="569"/>
      <c r="AL70" s="569"/>
      <c r="AM70" s="569"/>
      <c r="AN70" s="569"/>
      <c r="AO70" s="566"/>
    </row>
    <row r="71" spans="1:41" ht="24" customHeight="1">
      <c r="A71" s="1708" t="s">
        <v>2733</v>
      </c>
      <c r="B71" s="1709"/>
      <c r="C71" s="1709"/>
      <c r="D71" s="1709"/>
      <c r="E71" s="1709"/>
      <c r="F71" s="1709"/>
      <c r="G71" s="1709"/>
      <c r="H71" s="1709"/>
      <c r="I71" s="1709"/>
      <c r="J71" s="1709"/>
      <c r="K71" s="1709"/>
      <c r="L71" s="1709"/>
      <c r="M71" s="1709"/>
      <c r="N71" s="1709"/>
      <c r="O71" s="1709"/>
      <c r="P71" s="1709"/>
      <c r="Q71" s="1709"/>
      <c r="R71" s="1709"/>
      <c r="S71" s="1709"/>
      <c r="T71" s="1709"/>
      <c r="U71" s="1709"/>
      <c r="V71" s="1709"/>
      <c r="W71" s="1709"/>
      <c r="X71" s="1709"/>
      <c r="Y71" s="1707"/>
      <c r="Z71" s="1707"/>
      <c r="AA71" s="1707"/>
      <c r="AB71" s="1707"/>
      <c r="AC71" s="570" t="s">
        <v>212</v>
      </c>
      <c r="AD71" s="572"/>
      <c r="AE71" s="571" t="s">
        <v>129</v>
      </c>
      <c r="AF71" s="572" t="s">
        <v>234</v>
      </c>
      <c r="AH71" s="568"/>
      <c r="AI71" s="1704" t="s">
        <v>212</v>
      </c>
      <c r="AJ71" s="1705"/>
      <c r="AK71" s="256"/>
      <c r="AL71" s="1704" t="s">
        <v>129</v>
      </c>
      <c r="AM71" s="1705"/>
      <c r="AN71" s="256" t="s">
        <v>234</v>
      </c>
      <c r="AO71" s="567"/>
    </row>
    <row r="72" spans="1:41" ht="15" customHeight="1">
      <c r="A72" s="1720" t="str">
        <f>+CONCATENATE(ZAKL_DATA!A44)</f>
        <v/>
      </c>
      <c r="B72" s="822"/>
      <c r="C72" s="822"/>
      <c r="D72" s="822"/>
      <c r="E72" s="822"/>
      <c r="F72" s="822"/>
      <c r="G72" s="822"/>
      <c r="H72" s="822"/>
      <c r="I72" s="822"/>
      <c r="J72" s="822"/>
      <c r="K72" s="822"/>
      <c r="L72" s="822"/>
      <c r="M72" s="822"/>
      <c r="N72" s="822"/>
      <c r="O72" s="822"/>
      <c r="P72" s="822"/>
      <c r="Q72" s="822"/>
      <c r="R72" s="822"/>
      <c r="S72" s="822"/>
      <c r="T72" s="822"/>
      <c r="U72" s="822"/>
      <c r="V72" s="822"/>
      <c r="W72" s="822"/>
      <c r="X72" s="822"/>
      <c r="Y72" s="1240"/>
      <c r="Z72" s="1240"/>
      <c r="AA72" s="1240"/>
      <c r="AB72" s="1240"/>
      <c r="AC72" s="1240"/>
      <c r="AD72" s="1710" t="s">
        <v>156</v>
      </c>
      <c r="AE72" s="1710"/>
      <c r="AF72" s="1711"/>
    </row>
    <row r="73" spans="1:41">
      <c r="A73" s="1686" t="str">
        <f>+'DAP1'!A46</f>
        <v>Formulář zpracovala ASPEKT HM, daňová, účetní a auditorská kancelář, www.danovapriznani.cz, business.center.cz</v>
      </c>
      <c r="B73" s="1625"/>
      <c r="C73" s="1625"/>
      <c r="D73" s="1625"/>
      <c r="E73" s="1625"/>
      <c r="F73" s="1625"/>
      <c r="G73" s="1625"/>
      <c r="H73" s="1625"/>
      <c r="I73" s="1625"/>
      <c r="J73" s="1625"/>
      <c r="K73" s="1625"/>
      <c r="L73" s="1625"/>
      <c r="M73" s="1625"/>
      <c r="N73" s="1625"/>
      <c r="O73" s="1625"/>
      <c r="P73" s="1625"/>
      <c r="Q73" s="1625"/>
      <c r="R73" s="1625"/>
      <c r="S73" s="1625"/>
      <c r="T73" s="1625"/>
      <c r="U73" s="1625"/>
      <c r="V73" s="1625"/>
      <c r="W73" s="1625"/>
      <c r="X73" s="1625"/>
      <c r="Y73" s="517"/>
      <c r="Z73" s="517"/>
      <c r="AA73" s="517"/>
      <c r="AB73" s="1687" t="s">
        <v>2738</v>
      </c>
      <c r="AC73" s="1688"/>
      <c r="AD73" s="1688"/>
      <c r="AE73" s="1688"/>
      <c r="AF73" s="1689"/>
    </row>
    <row r="74" spans="1:4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row>
    <row r="75" spans="1:4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4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row>
    <row r="77" spans="1:4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row>
    <row r="78" spans="1:4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row>
    <row r="79" spans="1:4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row>
    <row r="80" spans="1:4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row>
    <row r="81" spans="1:3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row>
    <row r="82" spans="1:3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row>
    <row r="83" spans="1:3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row>
    <row r="84" spans="1:3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row>
    <row r="85" spans="1:3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row>
    <row r="87" spans="1:3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row>
    <row r="88" spans="1:3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row>
    <row r="89" spans="1:3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row>
    <row r="90" spans="1:3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1:3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1:3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1:3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1:3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1:3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1:3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1:3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1:3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0" spans="1:3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row>
    <row r="101" spans="1:3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row>
    <row r="102" spans="1:3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row>
    <row r="103" spans="1:3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row>
    <row r="104" spans="1:3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1:3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1:3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1:3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1:3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1:3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1:3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1:3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1:3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1:3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1:3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1:3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1:3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7" spans="1:3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row>
    <row r="118" spans="1:3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row>
    <row r="120" spans="1:3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1:3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row r="122" spans="1:3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row>
    <row r="123" spans="1:3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row>
    <row r="124" spans="1:3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row>
    <row r="125" spans="1:3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row>
    <row r="126" spans="1:3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row>
    <row r="127" spans="1:3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row>
    <row r="128" spans="1:3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row>
    <row r="129" spans="1:3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row>
    <row r="130" spans="1:3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row>
    <row r="131" spans="1:3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row>
    <row r="132" spans="1:3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row>
    <row r="133" spans="1:3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row>
    <row r="134" spans="1:3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row>
    <row r="135" spans="1:3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row>
    <row r="136" spans="1:3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row>
    <row r="137" spans="1:3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row>
    <row r="138" spans="1:3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row>
    <row r="139" spans="1:3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row>
    <row r="140" spans="1:3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row>
    <row r="141" spans="1:3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row>
    <row r="142" spans="1:3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row>
    <row r="143" spans="1:3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row>
    <row r="144" spans="1:3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row>
    <row r="145" spans="1:3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row>
    <row r="146" spans="1:3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row>
    <row r="147" spans="1:3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row>
    <row r="148" spans="1:3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row>
    <row r="149" spans="1:3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row>
    <row r="150" spans="1:3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row>
    <row r="151" spans="1:3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row>
    <row r="152" spans="1:3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row>
    <row r="153" spans="1:3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row>
    <row r="154" spans="1:3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row>
    <row r="155" spans="1:3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row>
    <row r="156" spans="1:3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row>
    <row r="157" spans="1:3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row>
    <row r="158" spans="1:3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row>
    <row r="159" spans="1:3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row>
    <row r="160" spans="1:3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row>
    <row r="161" spans="1:3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row>
    <row r="162" spans="1:3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row>
    <row r="163" spans="1:3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row>
    <row r="164" spans="1:32" s="21" customFormat="1"/>
    <row r="165" spans="1:32" s="21" customFormat="1"/>
  </sheetData>
  <sheetProtection algorithmName="SHA-512" hashValue="XwXt4wo65066Z7mPOhOr7BjBeApKMN3yzIRnSE4T3So/De+IRoivLrNjo3hi3TGWcvopJ7Xm3wlDxnTuV/mVew==" saltValue="tj9ksZeusrFb7Bjzk4cF+A==" spinCount="100000" sheet="1" objects="1" scenarios="1"/>
  <mergeCells count="217">
    <mergeCell ref="B1:Z1"/>
    <mergeCell ref="AA1:AE3"/>
    <mergeCell ref="B2:Z2"/>
    <mergeCell ref="A3:C3"/>
    <mergeCell ref="E3:I3"/>
    <mergeCell ref="S3:W3"/>
    <mergeCell ref="A7:AF7"/>
    <mergeCell ref="A8:AF8"/>
    <mergeCell ref="A9:F9"/>
    <mergeCell ref="H9:J9"/>
    <mergeCell ref="Q9:W9"/>
    <mergeCell ref="Y9:AF9"/>
    <mergeCell ref="A4:J4"/>
    <mergeCell ref="L4:P4"/>
    <mergeCell ref="R4:AF4"/>
    <mergeCell ref="A5:F5"/>
    <mergeCell ref="G5:T6"/>
    <mergeCell ref="U5:AF5"/>
    <mergeCell ref="A6:F6"/>
    <mergeCell ref="U6:AF6"/>
    <mergeCell ref="A12:B12"/>
    <mergeCell ref="D12:N12"/>
    <mergeCell ref="P12:T12"/>
    <mergeCell ref="V12:AF12"/>
    <mergeCell ref="A13:B13"/>
    <mergeCell ref="D13:N13"/>
    <mergeCell ref="P13:W13"/>
    <mergeCell ref="Y13:AF13"/>
    <mergeCell ref="A10:F10"/>
    <mergeCell ref="H10:O10"/>
    <mergeCell ref="Q10:W10"/>
    <mergeCell ref="Y10:AF10"/>
    <mergeCell ref="A11:B11"/>
    <mergeCell ref="D11:N11"/>
    <mergeCell ref="P11:T11"/>
    <mergeCell ref="V11:AF11"/>
    <mergeCell ref="A17:AF17"/>
    <mergeCell ref="A18:N18"/>
    <mergeCell ref="P18:T18"/>
    <mergeCell ref="V18:Z18"/>
    <mergeCell ref="AB18:AF18"/>
    <mergeCell ref="A19:F19"/>
    <mergeCell ref="AD19:AF19"/>
    <mergeCell ref="A14:B14"/>
    <mergeCell ref="D14:N14"/>
    <mergeCell ref="P14:W14"/>
    <mergeCell ref="Y14:AF14"/>
    <mergeCell ref="A15:AF15"/>
    <mergeCell ref="A16:AF16"/>
    <mergeCell ref="A24:E25"/>
    <mergeCell ref="G25:AF25"/>
    <mergeCell ref="A30:AF30"/>
    <mergeCell ref="A31:AF31"/>
    <mergeCell ref="A32:F32"/>
    <mergeCell ref="H32:K32"/>
    <mergeCell ref="L32:AD32"/>
    <mergeCell ref="A20:E20"/>
    <mergeCell ref="A21:F21"/>
    <mergeCell ref="AD21:AF21"/>
    <mergeCell ref="A22:E22"/>
    <mergeCell ref="A23:F23"/>
    <mergeCell ref="AD23:AF23"/>
    <mergeCell ref="A29:AF29"/>
    <mergeCell ref="A28:AD28"/>
    <mergeCell ref="A26:E27"/>
    <mergeCell ref="G27:AF27"/>
    <mergeCell ref="A37:AF37"/>
    <mergeCell ref="A38:AF38"/>
    <mergeCell ref="A39:X39"/>
    <mergeCell ref="Y39:AF39"/>
    <mergeCell ref="A40:G40"/>
    <mergeCell ref="H40:M40"/>
    <mergeCell ref="N40:X40"/>
    <mergeCell ref="Y40:AF40"/>
    <mergeCell ref="A33:AF33"/>
    <mergeCell ref="A34:F34"/>
    <mergeCell ref="H34:K34"/>
    <mergeCell ref="L34:AD34"/>
    <mergeCell ref="A35:AF35"/>
    <mergeCell ref="A36:F36"/>
    <mergeCell ref="H36:K36"/>
    <mergeCell ref="L36:AD36"/>
    <mergeCell ref="AB41:AC41"/>
    <mergeCell ref="AD41:AF41"/>
    <mergeCell ref="A42:O42"/>
    <mergeCell ref="Q42:T42"/>
    <mergeCell ref="V42:X42"/>
    <mergeCell ref="A41:N41"/>
    <mergeCell ref="O41:Q41"/>
    <mergeCell ref="R41:S41"/>
    <mergeCell ref="T41:V41"/>
    <mergeCell ref="W41:X41"/>
    <mergeCell ref="Y41:AA41"/>
    <mergeCell ref="AA42:AB42"/>
    <mergeCell ref="AD42:AF42"/>
    <mergeCell ref="Y46:AF47"/>
    <mergeCell ref="A45:X45"/>
    <mergeCell ref="Y45:AF45"/>
    <mergeCell ref="A46:G46"/>
    <mergeCell ref="H46:M46"/>
    <mergeCell ref="N46:X46"/>
    <mergeCell ref="AB43:AC43"/>
    <mergeCell ref="AD43:AF43"/>
    <mergeCell ref="A44:O44"/>
    <mergeCell ref="Q44:T44"/>
    <mergeCell ref="V44:X44"/>
    <mergeCell ref="A43:N43"/>
    <mergeCell ref="O43:Q43"/>
    <mergeCell ref="R43:S43"/>
    <mergeCell ref="T43:V43"/>
    <mergeCell ref="W43:X43"/>
    <mergeCell ref="Y43:AA43"/>
    <mergeCell ref="A47:G47"/>
    <mergeCell ref="H47:M47"/>
    <mergeCell ref="P47:U47"/>
    <mergeCell ref="V47:X47"/>
    <mergeCell ref="AA44:AB44"/>
    <mergeCell ref="AD44:AF44"/>
    <mergeCell ref="Z50:AE50"/>
    <mergeCell ref="Z48:AE48"/>
    <mergeCell ref="A49:G49"/>
    <mergeCell ref="H49:M49"/>
    <mergeCell ref="P49:U49"/>
    <mergeCell ref="V49:X49"/>
    <mergeCell ref="Y49:AF49"/>
    <mergeCell ref="A51:G51"/>
    <mergeCell ref="H51:M51"/>
    <mergeCell ref="P51:U51"/>
    <mergeCell ref="V51:X51"/>
    <mergeCell ref="Y51:AF51"/>
    <mergeCell ref="A48:G48"/>
    <mergeCell ref="H48:M48"/>
    <mergeCell ref="N48:O48"/>
    <mergeCell ref="P48:U48"/>
    <mergeCell ref="V48:X48"/>
    <mergeCell ref="A50:G50"/>
    <mergeCell ref="H50:M50"/>
    <mergeCell ref="N50:O50"/>
    <mergeCell ref="P50:U50"/>
    <mergeCell ref="V50:X50"/>
    <mergeCell ref="A52:G52"/>
    <mergeCell ref="H52:M52"/>
    <mergeCell ref="N52:O52"/>
    <mergeCell ref="P52:U52"/>
    <mergeCell ref="V52:X52"/>
    <mergeCell ref="Z52:AE52"/>
    <mergeCell ref="A53:X53"/>
    <mergeCell ref="Y53:AF53"/>
    <mergeCell ref="A54:G54"/>
    <mergeCell ref="H54:M54"/>
    <mergeCell ref="N54:O54"/>
    <mergeCell ref="P54:U58"/>
    <mergeCell ref="V54:X58"/>
    <mergeCell ref="Z54:AE54"/>
    <mergeCell ref="A55:G55"/>
    <mergeCell ref="A58:G58"/>
    <mergeCell ref="H58:M58"/>
    <mergeCell ref="N58:O58"/>
    <mergeCell ref="Z58:AE58"/>
    <mergeCell ref="A60:G60"/>
    <mergeCell ref="H60:M60"/>
    <mergeCell ref="N60:X60"/>
    <mergeCell ref="Z60:AE60"/>
    <mergeCell ref="A61:X61"/>
    <mergeCell ref="Y61:AF61"/>
    <mergeCell ref="A59:X59"/>
    <mergeCell ref="Y59:AF59"/>
    <mergeCell ref="H55:O55"/>
    <mergeCell ref="A56:G56"/>
    <mergeCell ref="H56:M56"/>
    <mergeCell ref="N56:O56"/>
    <mergeCell ref="A57:G57"/>
    <mergeCell ref="H57:O57"/>
    <mergeCell ref="Y57:AF57"/>
    <mergeCell ref="Y55:AF55"/>
    <mergeCell ref="Z56:AE56"/>
    <mergeCell ref="Y65:AF65"/>
    <mergeCell ref="A64:G64"/>
    <mergeCell ref="H64:M64"/>
    <mergeCell ref="Z64:AE64"/>
    <mergeCell ref="A62:G62"/>
    <mergeCell ref="H62:M62"/>
    <mergeCell ref="N62:X62"/>
    <mergeCell ref="Z62:AE62"/>
    <mergeCell ref="Y63:AF63"/>
    <mergeCell ref="A63:O63"/>
    <mergeCell ref="P63:U63"/>
    <mergeCell ref="V63:X63"/>
    <mergeCell ref="N64:O64"/>
    <mergeCell ref="P64:U64"/>
    <mergeCell ref="V64:X64"/>
    <mergeCell ref="A65:O65"/>
    <mergeCell ref="P65:X65"/>
    <mergeCell ref="AI71:AJ71"/>
    <mergeCell ref="AL71:AM71"/>
    <mergeCell ref="A70:AF70"/>
    <mergeCell ref="Y71:AB71"/>
    <mergeCell ref="A71:X71"/>
    <mergeCell ref="AD72:AF72"/>
    <mergeCell ref="A66:G66"/>
    <mergeCell ref="H66:M66"/>
    <mergeCell ref="Z66:AE66"/>
    <mergeCell ref="A67:X67"/>
    <mergeCell ref="Y67:AF67"/>
    <mergeCell ref="A72:AC72"/>
    <mergeCell ref="N66:O66"/>
    <mergeCell ref="P66:U66"/>
    <mergeCell ref="V66:X66"/>
    <mergeCell ref="A73:X73"/>
    <mergeCell ref="AB73:AF73"/>
    <mergeCell ref="A68:C69"/>
    <mergeCell ref="D68:G69"/>
    <mergeCell ref="H68:M68"/>
    <mergeCell ref="N68:X68"/>
    <mergeCell ref="Z68:AE68"/>
    <mergeCell ref="H69:X69"/>
    <mergeCell ref="Y69:AF69"/>
  </mergeCells>
  <printOptions horizontalCentered="1" verticalCentered="1"/>
  <pageMargins left="0.19685039370078741" right="0.19685039370078741" top="0.39370078740157483" bottom="0.39370078740157483" header="0.51181102362204722" footer="0.51181102362204722"/>
  <pageSetup paperSize="9" scale="82"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tabColor rgb="FFFFFF99"/>
    <pageSetUpPr fitToPage="1"/>
  </sheetPr>
  <dimension ref="A1:CI1061"/>
  <sheetViews>
    <sheetView workbookViewId="0">
      <selection activeCell="A6" sqref="A6:AO6"/>
    </sheetView>
  </sheetViews>
  <sheetFormatPr defaultColWidth="9.140625" defaultRowHeight="12.75"/>
  <cols>
    <col min="1" max="2" width="2.42578125" style="117" customWidth="1"/>
    <col min="3" max="3" width="16.7109375" style="117" customWidth="1"/>
    <col min="4" max="4" width="3.140625" style="117" customWidth="1"/>
    <col min="5" max="5" width="2.42578125" style="117" customWidth="1"/>
    <col min="6" max="6" width="1.7109375" style="117" customWidth="1"/>
    <col min="7" max="40" width="2.42578125" style="117" customWidth="1"/>
    <col min="41" max="41" width="3" style="117" customWidth="1"/>
    <col min="42" max="81" width="9.140625" style="21"/>
    <col min="82" max="16384" width="9.140625" style="117"/>
  </cols>
  <sheetData>
    <row r="1" spans="1:83" ht="18" customHeight="1">
      <c r="A1" s="1824"/>
      <c r="B1" s="1834"/>
      <c r="C1" s="1834"/>
      <c r="D1" s="1957" t="s">
        <v>2734</v>
      </c>
      <c r="E1" s="1957"/>
      <c r="F1" s="1957"/>
      <c r="G1" s="1957"/>
      <c r="H1" s="1957"/>
      <c r="I1" s="1957"/>
      <c r="J1" s="1957"/>
      <c r="K1" s="1957"/>
      <c r="L1" s="1834"/>
      <c r="M1" s="1834"/>
      <c r="N1" s="1834"/>
      <c r="O1" s="1834"/>
      <c r="P1" s="1834"/>
      <c r="Q1" s="1834"/>
      <c r="R1" s="1834"/>
      <c r="S1" s="1834"/>
      <c r="T1" s="1834"/>
      <c r="U1" s="1834"/>
      <c r="V1" s="1834"/>
      <c r="W1" s="1834"/>
      <c r="X1" s="1834"/>
      <c r="Y1" s="1834"/>
      <c r="Z1" s="1834"/>
      <c r="AA1" s="1834"/>
      <c r="AB1" s="1834"/>
      <c r="AC1" s="1834"/>
      <c r="AD1" s="1834"/>
      <c r="AE1" s="1834"/>
      <c r="AF1" s="1834"/>
      <c r="AG1" s="1834"/>
      <c r="AH1" s="1834"/>
      <c r="AI1" s="1834"/>
      <c r="AJ1" s="505"/>
      <c r="AK1" s="505"/>
      <c r="AL1" s="505"/>
      <c r="AM1" s="505"/>
      <c r="AN1" s="505"/>
      <c r="AO1" s="505"/>
      <c r="CD1" s="21"/>
      <c r="CE1" s="21"/>
    </row>
    <row r="2" spans="1:83">
      <c r="A2" s="1834"/>
      <c r="B2" s="1834"/>
      <c r="C2" s="1834"/>
      <c r="D2" s="1958"/>
      <c r="E2" s="814"/>
      <c r="F2" s="814"/>
      <c r="G2" s="814"/>
      <c r="H2" s="814"/>
      <c r="I2" s="814"/>
      <c r="J2" s="814"/>
      <c r="K2" s="814"/>
      <c r="L2" s="814"/>
      <c r="M2" s="814"/>
      <c r="N2" s="1959" t="s">
        <v>146</v>
      </c>
      <c r="O2" s="1960"/>
      <c r="P2" s="1960"/>
      <c r="Q2" s="1960"/>
      <c r="R2" s="1960"/>
      <c r="S2" s="1960"/>
      <c r="T2" s="1960"/>
      <c r="U2" s="1960"/>
      <c r="V2" s="1960"/>
      <c r="W2" s="1834"/>
      <c r="X2" s="814"/>
      <c r="Y2" s="814"/>
      <c r="Z2" s="814"/>
      <c r="AA2" s="814"/>
      <c r="AB2" s="814"/>
      <c r="AC2" s="814"/>
      <c r="AD2" s="814"/>
      <c r="AE2" s="814"/>
      <c r="AF2" s="814"/>
      <c r="AG2" s="814"/>
      <c r="AH2" s="814"/>
      <c r="AI2" s="20"/>
      <c r="AJ2" s="505"/>
      <c r="AK2" s="505"/>
      <c r="AL2" s="505"/>
      <c r="AM2" s="505"/>
      <c r="AN2" s="505"/>
      <c r="AO2" s="505"/>
      <c r="CD2" s="21"/>
      <c r="CE2" s="21"/>
    </row>
    <row r="3" spans="1:83" ht="18" customHeight="1">
      <c r="A3" s="1834"/>
      <c r="B3" s="1834"/>
      <c r="C3" s="1834"/>
      <c r="D3" s="814"/>
      <c r="E3" s="814"/>
      <c r="F3" s="814"/>
      <c r="G3" s="814"/>
      <c r="H3" s="814"/>
      <c r="I3" s="814"/>
      <c r="J3" s="814"/>
      <c r="K3" s="814"/>
      <c r="L3" s="814"/>
      <c r="M3" s="814"/>
      <c r="N3" s="1821" t="str">
        <f>+'SP1'!Y10</f>
        <v/>
      </c>
      <c r="O3" s="1749"/>
      <c r="P3" s="1749"/>
      <c r="Q3" s="1749"/>
      <c r="R3" s="1749"/>
      <c r="S3" s="1749"/>
      <c r="T3" s="1749"/>
      <c r="U3" s="1749"/>
      <c r="V3" s="1006"/>
      <c r="W3" s="1961"/>
      <c r="X3" s="1962"/>
      <c r="Y3" s="1962"/>
      <c r="Z3" s="1962"/>
      <c r="AA3" s="1962"/>
      <c r="AB3" s="1962"/>
      <c r="AC3" s="1962"/>
      <c r="AD3" s="1962"/>
      <c r="AE3" s="1962"/>
      <c r="AF3" s="1962"/>
      <c r="AG3" s="1962"/>
      <c r="AH3" s="1962"/>
      <c r="AI3" s="1962"/>
      <c r="AJ3" s="1962"/>
      <c r="AK3" s="1962"/>
      <c r="AL3" s="1962"/>
      <c r="AM3" s="1962"/>
      <c r="AN3" s="1962"/>
      <c r="AO3" s="1962"/>
      <c r="CD3" s="21"/>
      <c r="CE3" s="21"/>
    </row>
    <row r="4" spans="1:83" ht="5.0999999999999996" customHeight="1">
      <c r="A4" s="1824"/>
      <c r="B4" s="1824"/>
      <c r="C4" s="1824"/>
      <c r="D4" s="1824"/>
      <c r="E4" s="1824"/>
      <c r="F4" s="1824"/>
      <c r="G4" s="1824"/>
      <c r="H4" s="1824"/>
      <c r="I4" s="1824"/>
      <c r="J4" s="1824"/>
      <c r="K4" s="1824"/>
      <c r="L4" s="1824"/>
      <c r="M4" s="1824"/>
      <c r="N4" s="1824"/>
      <c r="O4" s="1824"/>
      <c r="P4" s="1824"/>
      <c r="Q4" s="1824"/>
      <c r="R4" s="1824"/>
      <c r="S4" s="1824"/>
      <c r="T4" s="1824"/>
      <c r="U4" s="1824"/>
      <c r="V4" s="1824"/>
      <c r="W4" s="1824"/>
      <c r="X4" s="1824"/>
      <c r="Y4" s="1824"/>
      <c r="Z4" s="1824"/>
      <c r="AA4" s="1824"/>
      <c r="AB4" s="1834"/>
      <c r="AC4" s="1834"/>
      <c r="AD4" s="1834"/>
      <c r="AE4" s="1834"/>
      <c r="AF4" s="1834"/>
      <c r="AG4" s="1834"/>
      <c r="AH4" s="1834"/>
      <c r="AI4" s="1834"/>
      <c r="AJ4" s="1834"/>
      <c r="AK4" s="1834"/>
      <c r="AL4" s="1834"/>
      <c r="AM4" s="1834"/>
      <c r="AN4" s="1834"/>
      <c r="AO4" s="1834"/>
    </row>
    <row r="5" spans="1:83" ht="15" customHeight="1">
      <c r="A5" s="1766" t="s">
        <v>2726</v>
      </c>
      <c r="B5" s="1767"/>
      <c r="C5" s="1767"/>
      <c r="D5" s="1767"/>
      <c r="E5" s="1767"/>
      <c r="F5" s="1767"/>
      <c r="G5" s="1767"/>
      <c r="H5" s="1767"/>
      <c r="I5" s="1767"/>
      <c r="J5" s="1767"/>
      <c r="K5" s="1767"/>
      <c r="L5" s="1767"/>
      <c r="M5" s="1767"/>
      <c r="N5" s="1767"/>
      <c r="O5" s="1767"/>
      <c r="P5" s="1767"/>
      <c r="Q5" s="1767"/>
      <c r="R5" s="1767"/>
      <c r="S5" s="1767"/>
      <c r="T5" s="1767"/>
      <c r="U5" s="1767"/>
      <c r="V5" s="1767"/>
      <c r="W5" s="1767"/>
      <c r="X5" s="1767"/>
      <c r="Y5" s="1767"/>
      <c r="Z5" s="1767"/>
      <c r="AA5" s="1767"/>
      <c r="AB5" s="1767"/>
      <c r="AC5" s="1767"/>
      <c r="AD5" s="1767"/>
      <c r="AE5" s="1767"/>
      <c r="AF5" s="1767"/>
      <c r="AG5" s="1767"/>
      <c r="AH5" s="1767"/>
      <c r="AI5" s="1767"/>
      <c r="AJ5" s="1767"/>
      <c r="AK5" s="1767"/>
      <c r="AL5" s="1767"/>
      <c r="AM5" s="1767"/>
      <c r="AN5" s="1767"/>
      <c r="AO5" s="1768"/>
    </row>
    <row r="6" spans="1:83" ht="15" customHeight="1">
      <c r="A6" s="1792" t="s">
        <v>2743</v>
      </c>
      <c r="B6" s="1952"/>
      <c r="C6" s="1952"/>
      <c r="D6" s="1952"/>
      <c r="E6" s="1952"/>
      <c r="F6" s="1952"/>
      <c r="G6" s="1952"/>
      <c r="H6" s="1952"/>
      <c r="I6" s="1952"/>
      <c r="J6" s="1952"/>
      <c r="K6" s="1952"/>
      <c r="L6" s="1952"/>
      <c r="M6" s="1952"/>
      <c r="N6" s="1952"/>
      <c r="O6" s="1952"/>
      <c r="P6" s="1952"/>
      <c r="Q6" s="1952"/>
      <c r="R6" s="1952"/>
      <c r="S6" s="1952"/>
      <c r="T6" s="1952"/>
      <c r="U6" s="1952"/>
      <c r="V6" s="1952"/>
      <c r="W6" s="1952"/>
      <c r="X6" s="1952"/>
      <c r="Y6" s="1952"/>
      <c r="Z6" s="1952"/>
      <c r="AA6" s="1952"/>
      <c r="AB6" s="1952"/>
      <c r="AC6" s="1952"/>
      <c r="AD6" s="1952"/>
      <c r="AE6" s="1952"/>
      <c r="AF6" s="1952"/>
      <c r="AG6" s="1952"/>
      <c r="AH6" s="1952"/>
      <c r="AI6" s="1952"/>
      <c r="AJ6" s="1952"/>
      <c r="AK6" s="1952"/>
      <c r="AL6" s="1952"/>
      <c r="AM6" s="1952"/>
      <c r="AN6" s="1952"/>
      <c r="AO6" s="1953"/>
    </row>
    <row r="7" spans="1:83" ht="18.75" customHeight="1">
      <c r="A7" s="1954" t="s">
        <v>2744</v>
      </c>
      <c r="B7" s="893"/>
      <c r="C7" s="893"/>
      <c r="D7" s="893"/>
      <c r="E7" s="893"/>
      <c r="F7" s="893"/>
      <c r="G7" s="1240"/>
      <c r="H7" s="1240"/>
      <c r="I7" s="1240"/>
      <c r="J7" s="1240"/>
      <c r="K7" s="924"/>
      <c r="L7" s="620" t="s">
        <v>234</v>
      </c>
      <c r="M7" s="1955" t="s">
        <v>2642</v>
      </c>
      <c r="N7" s="822"/>
      <c r="O7" s="822"/>
      <c r="P7" s="1956"/>
      <c r="Q7" s="620"/>
      <c r="R7" s="1712"/>
      <c r="S7" s="1240"/>
      <c r="T7" s="1759" t="s">
        <v>2745</v>
      </c>
      <c r="U7" s="1759"/>
      <c r="V7" s="1759"/>
      <c r="W7" s="1759"/>
      <c r="X7" s="1759"/>
      <c r="Y7" s="1759"/>
      <c r="Z7" s="1759"/>
      <c r="AA7" s="1759"/>
      <c r="AB7" s="1759"/>
      <c r="AC7" s="1759"/>
      <c r="AD7" s="1759"/>
      <c r="AE7" s="1759"/>
      <c r="AF7" s="1759"/>
      <c r="AG7" s="1759"/>
      <c r="AH7" s="1759"/>
      <c r="AI7" s="1759"/>
      <c r="AJ7" s="1759"/>
      <c r="AK7" s="1759"/>
      <c r="AL7" s="1759"/>
      <c r="AM7" s="1760"/>
      <c r="AN7" s="620"/>
      <c r="AO7" s="621"/>
    </row>
    <row r="8" spans="1:83" ht="1.5" customHeight="1">
      <c r="A8" s="1849"/>
      <c r="B8" s="1700"/>
      <c r="C8" s="1700"/>
      <c r="D8" s="1700"/>
      <c r="E8" s="1700"/>
      <c r="F8" s="1700"/>
      <c r="G8" s="1700"/>
      <c r="H8" s="1700"/>
      <c r="I8" s="1700"/>
      <c r="J8" s="1700"/>
      <c r="K8" s="1700"/>
      <c r="L8" s="1700"/>
      <c r="M8" s="1700"/>
      <c r="N8" s="1700"/>
      <c r="O8" s="1700"/>
      <c r="P8" s="1700"/>
      <c r="Q8" s="1700"/>
      <c r="R8" s="1700"/>
      <c r="S8" s="1700"/>
      <c r="T8" s="1700"/>
      <c r="U8" s="1700"/>
      <c r="V8" s="1700"/>
      <c r="W8" s="1700"/>
      <c r="X8" s="1700"/>
      <c r="Y8" s="1700"/>
      <c r="Z8" s="1700"/>
      <c r="AA8" s="1700"/>
      <c r="AB8" s="1700"/>
      <c r="AC8" s="1700"/>
      <c r="AD8" s="1700"/>
      <c r="AE8" s="1700"/>
      <c r="AF8" s="1700"/>
      <c r="AG8" s="1700"/>
      <c r="AH8" s="1700"/>
      <c r="AI8" s="1700"/>
      <c r="AJ8" s="1700"/>
      <c r="AK8" s="1700"/>
      <c r="AL8" s="1700"/>
      <c r="AM8" s="1700"/>
      <c r="AN8" s="1700"/>
      <c r="AO8" s="1701"/>
    </row>
    <row r="9" spans="1:83" ht="15" customHeight="1">
      <c r="A9" s="1712" t="s">
        <v>2746</v>
      </c>
      <c r="B9" s="1240"/>
      <c r="C9" s="1240"/>
      <c r="D9" s="1240"/>
      <c r="E9" s="1240"/>
      <c r="F9" s="1240"/>
      <c r="G9" s="1240"/>
      <c r="H9" s="1240"/>
      <c r="I9" s="1240"/>
      <c r="J9" s="1240"/>
      <c r="K9" s="1240"/>
      <c r="L9" s="1240"/>
      <c r="M9" s="1240"/>
      <c r="N9" s="1240"/>
      <c r="O9" s="1240"/>
      <c r="P9" s="1240"/>
      <c r="Q9" s="924"/>
      <c r="R9" s="620"/>
      <c r="S9" s="619"/>
      <c r="T9" s="1759" t="s">
        <v>2747</v>
      </c>
      <c r="U9" s="1759"/>
      <c r="V9" s="1759"/>
      <c r="W9" s="1759"/>
      <c r="X9" s="1759"/>
      <c r="Y9" s="1759"/>
      <c r="Z9" s="1759"/>
      <c r="AA9" s="1759"/>
      <c r="AB9" s="1759"/>
      <c r="AC9" s="1759"/>
      <c r="AD9" s="1759"/>
      <c r="AE9" s="1759"/>
      <c r="AF9" s="1759"/>
      <c r="AG9" s="1759"/>
      <c r="AH9" s="1759"/>
      <c r="AI9" s="1759"/>
      <c r="AJ9" s="1759"/>
      <c r="AK9" s="1759"/>
      <c r="AL9" s="1759"/>
      <c r="AM9" s="1760"/>
      <c r="AN9" s="620"/>
      <c r="AO9" s="621"/>
    </row>
    <row r="10" spans="1:83" ht="4.5" customHeight="1" thickBot="1">
      <c r="A10" s="1849"/>
      <c r="B10" s="1700"/>
      <c r="C10" s="1700"/>
      <c r="D10" s="1700"/>
      <c r="E10" s="1700"/>
      <c r="F10" s="1700"/>
      <c r="G10" s="1700"/>
      <c r="H10" s="1700"/>
      <c r="I10" s="1700"/>
      <c r="J10" s="1700"/>
      <c r="K10" s="1700"/>
      <c r="L10" s="1700"/>
      <c r="M10" s="1700"/>
      <c r="N10" s="1700"/>
      <c r="O10" s="1700"/>
      <c r="P10" s="1700"/>
      <c r="Q10" s="1700"/>
      <c r="R10" s="1700"/>
      <c r="S10" s="1700"/>
      <c r="T10" s="1700"/>
      <c r="U10" s="1700"/>
      <c r="V10" s="1700"/>
      <c r="W10" s="1700"/>
      <c r="X10" s="1700"/>
      <c r="Y10" s="1700"/>
      <c r="Z10" s="1700"/>
      <c r="AA10" s="1700"/>
      <c r="AB10" s="1700"/>
      <c r="AC10" s="1700"/>
      <c r="AD10" s="1700"/>
      <c r="AE10" s="1700"/>
      <c r="AF10" s="1700"/>
      <c r="AG10" s="1700"/>
      <c r="AH10" s="1700"/>
      <c r="AI10" s="1700"/>
      <c r="AJ10" s="1700"/>
      <c r="AK10" s="1700"/>
      <c r="AL10" s="1700"/>
      <c r="AM10" s="1700"/>
      <c r="AN10" s="1700"/>
      <c r="AO10" s="1701"/>
    </row>
    <row r="11" spans="1:83" ht="18.95" customHeight="1" thickBot="1">
      <c r="A11" s="1947" t="s">
        <v>2608</v>
      </c>
      <c r="B11" s="1240"/>
      <c r="C11" s="1633"/>
      <c r="D11" s="1948">
        <f>IF(OR(EXACT(AN7,"X"),EXACT(AN7,"x")),0,IF(('SP1'!P42+'SP1'!U42)=0,0,CEILING(IF(OR(EXACT(L7,"X"),EXACT(L7,"x")),MIN(195868,MAX(IF(OR(EXACT(R9,"X"),EXACT(R9,"x")),12242,19587),'SP1'!H40*0.55/('SP1'!P42+'SP1'!U42))),MIN(195868,MAX(5387,'SP1'!H40*0.55/('SP1'!P42+'SP1'!U42)))),1)))</f>
        <v>19587</v>
      </c>
      <c r="E11" s="1949"/>
      <c r="F11" s="1949"/>
      <c r="G11" s="1949"/>
      <c r="H11" s="1949"/>
      <c r="I11" s="1949"/>
      <c r="J11" s="1950"/>
      <c r="K11" s="1951" t="s">
        <v>2610</v>
      </c>
      <c r="L11" s="902"/>
      <c r="M11" s="902"/>
      <c r="N11" s="902"/>
      <c r="O11" s="902"/>
      <c r="P11" s="902"/>
      <c r="Q11" s="902"/>
      <c r="R11" s="902"/>
      <c r="S11" s="1948">
        <f>+IF(OR(EXACT(AN9,"X"),EXACT(AN9,"x")),CEILING(D11*0.227,1),+CEILING(D11*0.292,1))</f>
        <v>5720</v>
      </c>
      <c r="T11" s="1949"/>
      <c r="U11" s="1949"/>
      <c r="V11" s="1949"/>
      <c r="W11" s="1949"/>
      <c r="X11" s="1949"/>
      <c r="Y11" s="1950"/>
      <c r="Z11" s="1951" t="s">
        <v>2609</v>
      </c>
      <c r="AA11" s="902"/>
      <c r="AB11" s="902"/>
      <c r="AC11" s="902"/>
      <c r="AD11" s="902"/>
      <c r="AE11" s="902"/>
      <c r="AF11" s="902"/>
      <c r="AG11" s="902"/>
      <c r="AH11" s="1948">
        <f>+IF(S11=0,0,+CEILING(MAX(216,+'SP1'!H56/('SP1'!P44+'SP1'!U44)*0.027),1))</f>
        <v>440</v>
      </c>
      <c r="AI11" s="1949"/>
      <c r="AJ11" s="1949"/>
      <c r="AK11" s="1949"/>
      <c r="AL11" s="1949"/>
      <c r="AM11" s="1949"/>
      <c r="AN11" s="1950"/>
      <c r="AO11" s="500"/>
    </row>
    <row r="12" spans="1:83" ht="4.5" customHeight="1">
      <c r="A12" s="1719"/>
      <c r="B12" s="1240"/>
      <c r="C12" s="1240"/>
      <c r="D12" s="1240"/>
      <c r="E12" s="1240"/>
      <c r="F12" s="1240"/>
      <c r="G12" s="1240"/>
      <c r="H12" s="1240"/>
      <c r="I12" s="1240"/>
      <c r="J12" s="1240"/>
      <c r="K12" s="1240"/>
      <c r="L12" s="1240"/>
      <c r="M12" s="1240"/>
      <c r="N12" s="1240"/>
      <c r="O12" s="1240"/>
      <c r="P12" s="1240"/>
      <c r="Q12" s="1240"/>
      <c r="R12" s="1240"/>
      <c r="S12" s="1240"/>
      <c r="T12" s="1240"/>
      <c r="U12" s="1240"/>
      <c r="V12" s="1240"/>
      <c r="W12" s="1240"/>
      <c r="X12" s="1240"/>
      <c r="Y12" s="1240"/>
      <c r="Z12" s="1240"/>
      <c r="AA12" s="1240"/>
      <c r="AB12" s="1240"/>
      <c r="AC12" s="1240"/>
      <c r="AD12" s="1240"/>
      <c r="AE12" s="1240"/>
      <c r="AF12" s="1240"/>
      <c r="AG12" s="1240"/>
      <c r="AH12" s="1240"/>
      <c r="AI12" s="1240"/>
      <c r="AJ12" s="1240"/>
      <c r="AK12" s="1240"/>
      <c r="AL12" s="1240"/>
      <c r="AM12" s="1240"/>
      <c r="AN12" s="1240"/>
      <c r="AO12" s="924"/>
    </row>
    <row r="13" spans="1:83">
      <c r="A13" s="1766" t="s">
        <v>2506</v>
      </c>
      <c r="B13" s="1767"/>
      <c r="C13" s="1767"/>
      <c r="D13" s="1767"/>
      <c r="E13" s="1767"/>
      <c r="F13" s="1767"/>
      <c r="G13" s="1767"/>
      <c r="H13" s="1767"/>
      <c r="I13" s="1767"/>
      <c r="J13" s="1767"/>
      <c r="K13" s="1767"/>
      <c r="L13" s="1767"/>
      <c r="M13" s="1767"/>
      <c r="N13" s="1767"/>
      <c r="O13" s="1767"/>
      <c r="P13" s="1767"/>
      <c r="Q13" s="1767"/>
      <c r="R13" s="1767"/>
      <c r="S13" s="1767"/>
      <c r="T13" s="1767"/>
      <c r="U13" s="1767"/>
      <c r="V13" s="1767"/>
      <c r="W13" s="1767"/>
      <c r="X13" s="1767"/>
      <c r="Y13" s="1767"/>
      <c r="Z13" s="1767"/>
      <c r="AA13" s="1767"/>
      <c r="AB13" s="1767"/>
      <c r="AC13" s="1767"/>
      <c r="AD13" s="1767"/>
      <c r="AE13" s="1767"/>
      <c r="AF13" s="1767"/>
      <c r="AG13" s="1767"/>
      <c r="AH13" s="1767"/>
      <c r="AI13" s="1767"/>
      <c r="AJ13" s="1767"/>
      <c r="AK13" s="1767"/>
      <c r="AL13" s="1767"/>
      <c r="AM13" s="1767"/>
      <c r="AN13" s="1767"/>
      <c r="AO13" s="1768"/>
    </row>
    <row r="14" spans="1:83" ht="5.0999999999999996" customHeight="1">
      <c r="A14" s="1944"/>
      <c r="B14" s="1945"/>
      <c r="C14" s="1945"/>
      <c r="D14" s="1945"/>
      <c r="E14" s="1945"/>
      <c r="F14" s="1945"/>
      <c r="G14" s="1945"/>
      <c r="H14" s="1945"/>
      <c r="I14" s="1945"/>
      <c r="J14" s="1945"/>
      <c r="K14" s="1945"/>
      <c r="L14" s="1945"/>
      <c r="M14" s="1945"/>
      <c r="N14" s="1945"/>
      <c r="O14" s="1945"/>
      <c r="P14" s="1945"/>
      <c r="Q14" s="1945"/>
      <c r="R14" s="1945"/>
      <c r="S14" s="1945"/>
      <c r="T14" s="1945"/>
      <c r="U14" s="1945"/>
      <c r="V14" s="1945"/>
      <c r="W14" s="1945"/>
      <c r="X14" s="1945"/>
      <c r="Y14" s="1945"/>
      <c r="Z14" s="1945"/>
      <c r="AA14" s="1945"/>
      <c r="AB14" s="1945"/>
      <c r="AC14" s="1945"/>
      <c r="AD14" s="1945"/>
      <c r="AE14" s="1945"/>
      <c r="AF14" s="1945"/>
      <c r="AG14" s="1945"/>
      <c r="AH14" s="1945"/>
      <c r="AI14" s="1945"/>
      <c r="AJ14" s="1945"/>
      <c r="AK14" s="1945"/>
      <c r="AL14" s="1945"/>
      <c r="AM14" s="1945"/>
      <c r="AN14" s="1945"/>
      <c r="AO14" s="1946"/>
    </row>
    <row r="15" spans="1:83" ht="18.95" customHeight="1">
      <c r="A15" s="1936" t="s">
        <v>302</v>
      </c>
      <c r="B15" s="1240"/>
      <c r="C15" s="1240"/>
      <c r="D15" s="1240"/>
      <c r="E15" s="1240"/>
      <c r="F15" s="1240"/>
      <c r="G15" s="1937">
        <f>+IF('SP1'!H68&lt;0,-'SP1'!H68,0)</f>
        <v>0</v>
      </c>
      <c r="H15" s="1938"/>
      <c r="I15" s="1938"/>
      <c r="J15" s="1938"/>
      <c r="K15" s="1938"/>
      <c r="L15" s="1938"/>
      <c r="M15" s="1938"/>
      <c r="N15" s="1938"/>
      <c r="O15" s="1939"/>
      <c r="P15" s="1936" t="s">
        <v>186</v>
      </c>
      <c r="Q15" s="1240"/>
      <c r="R15" s="1825" t="s">
        <v>2725</v>
      </c>
      <c r="S15" s="822"/>
      <c r="T15" s="822"/>
      <c r="U15" s="822"/>
      <c r="V15" s="822"/>
      <c r="W15" s="822"/>
      <c r="X15" s="822"/>
      <c r="Y15" s="822"/>
      <c r="Z15" s="822"/>
      <c r="AA15" s="822"/>
      <c r="AB15" s="822"/>
      <c r="AC15" s="822"/>
      <c r="AD15" s="822"/>
      <c r="AE15" s="822"/>
      <c r="AF15" s="822"/>
      <c r="AG15" s="822"/>
      <c r="AH15" s="822"/>
      <c r="AI15" s="822"/>
      <c r="AJ15" s="822"/>
      <c r="AK15" s="822"/>
      <c r="AL15" s="822"/>
      <c r="AM15" s="1940"/>
      <c r="AN15" s="256"/>
      <c r="AO15" s="587"/>
      <c r="BW15" s="117"/>
      <c r="BX15" s="117"/>
      <c r="BY15" s="117"/>
      <c r="BZ15" s="117"/>
      <c r="CA15" s="117"/>
      <c r="CB15" s="117"/>
      <c r="CC15" s="117"/>
    </row>
    <row r="16" spans="1:83" ht="5.0999999999999996" customHeight="1">
      <c r="A16" s="1732"/>
      <c r="B16" s="1728"/>
      <c r="C16" s="1728"/>
      <c r="D16" s="1728"/>
      <c r="E16" s="1728"/>
      <c r="F16" s="1728"/>
      <c r="G16" s="1728"/>
      <c r="H16" s="1728"/>
      <c r="I16" s="1728"/>
      <c r="J16" s="1728"/>
      <c r="K16" s="1728"/>
      <c r="L16" s="1728"/>
      <c r="M16" s="1728"/>
      <c r="N16" s="1728"/>
      <c r="O16" s="1728"/>
      <c r="P16" s="1728"/>
      <c r="Q16" s="1728"/>
      <c r="R16" s="1728"/>
      <c r="S16" s="1728"/>
      <c r="T16" s="1728"/>
      <c r="U16" s="1728"/>
      <c r="V16" s="1728"/>
      <c r="W16" s="1728"/>
      <c r="X16" s="1728"/>
      <c r="Y16" s="1728"/>
      <c r="Z16" s="1728"/>
      <c r="AA16" s="1728"/>
      <c r="AB16" s="1728"/>
      <c r="AC16" s="1728"/>
      <c r="AD16" s="1728"/>
      <c r="AE16" s="1728"/>
      <c r="AF16" s="1728"/>
      <c r="AG16" s="1728"/>
      <c r="AH16" s="1728"/>
      <c r="AI16" s="1728"/>
      <c r="AJ16" s="1728"/>
      <c r="AK16" s="1728"/>
      <c r="AL16" s="1728"/>
      <c r="AM16" s="1728"/>
      <c r="AN16" s="1728"/>
      <c r="AO16" s="1855"/>
    </row>
    <row r="17" spans="1:87">
      <c r="A17" s="1737" t="s">
        <v>2507</v>
      </c>
      <c r="B17" s="1942"/>
      <c r="C17" s="1942"/>
      <c r="D17" s="1942"/>
      <c r="E17" s="1942"/>
      <c r="F17" s="1942"/>
      <c r="G17" s="1942"/>
      <c r="H17" s="1942"/>
      <c r="I17" s="1942"/>
      <c r="J17" s="1942"/>
      <c r="K17" s="1942"/>
      <c r="L17" s="1942"/>
      <c r="M17" s="1942"/>
      <c r="N17" s="1942"/>
      <c r="O17" s="1942"/>
      <c r="P17" s="1942"/>
      <c r="Q17" s="1942"/>
      <c r="R17" s="1942"/>
      <c r="S17" s="1942"/>
      <c r="T17" s="1942"/>
      <c r="U17" s="1942"/>
      <c r="V17" s="1942"/>
      <c r="W17" s="1942"/>
      <c r="X17" s="1942"/>
      <c r="Y17" s="1942"/>
      <c r="Z17" s="1942"/>
      <c r="AA17" s="1942"/>
      <c r="AB17" s="1942"/>
      <c r="AC17" s="1942"/>
      <c r="AD17" s="1942"/>
      <c r="AE17" s="1942"/>
      <c r="AF17" s="1942"/>
      <c r="AG17" s="1942"/>
      <c r="AH17" s="1942"/>
      <c r="AI17" s="1942"/>
      <c r="AJ17" s="1942"/>
      <c r="AK17" s="1942"/>
      <c r="AL17" s="1942"/>
      <c r="AM17" s="1942"/>
      <c r="AN17" s="1942"/>
      <c r="AO17" s="1943"/>
    </row>
    <row r="18" spans="1:87" ht="15" customHeight="1">
      <c r="A18" s="501" t="s">
        <v>210</v>
      </c>
      <c r="B18" s="256"/>
      <c r="C18" s="507" t="s">
        <v>2669</v>
      </c>
      <c r="D18" s="1941"/>
      <c r="E18" s="1941"/>
      <c r="F18" s="1941"/>
      <c r="G18" s="1941"/>
      <c r="H18" s="1941"/>
      <c r="I18" s="1941"/>
      <c r="J18" s="1941"/>
      <c r="K18" s="1941"/>
      <c r="L18" s="1941"/>
      <c r="M18" s="1941"/>
      <c r="N18" s="1941"/>
      <c r="O18" s="1941"/>
      <c r="P18" s="1941"/>
      <c r="Q18" s="1941"/>
      <c r="R18" s="1941"/>
      <c r="S18" s="1941"/>
      <c r="T18" s="1941"/>
      <c r="U18" s="1941"/>
      <c r="V18" s="1941"/>
      <c r="W18" s="1941"/>
      <c r="X18" s="1941"/>
      <c r="Y18" s="1941"/>
      <c r="Z18" s="1941"/>
      <c r="AA18" s="1941"/>
      <c r="AB18" s="1240"/>
      <c r="AC18" s="1240"/>
      <c r="AD18" s="1240"/>
      <c r="AE18" s="1240"/>
      <c r="AF18" s="1240"/>
      <c r="AG18" s="1240"/>
      <c r="AH18" s="1240"/>
      <c r="AI18" s="1240"/>
      <c r="AJ18" s="1240"/>
      <c r="AK18" s="1240"/>
      <c r="AL18" s="1240"/>
      <c r="AM18" s="1240"/>
      <c r="AN18" s="1240"/>
      <c r="AO18" s="924"/>
    </row>
    <row r="19" spans="1:87" s="118" customFormat="1" ht="9.9499999999999993" customHeight="1">
      <c r="A19" s="1725" t="s">
        <v>2503</v>
      </c>
      <c r="B19" s="1240"/>
      <c r="C19" s="1240"/>
      <c r="D19" s="1240"/>
      <c r="E19" s="1240"/>
      <c r="F19" s="1240"/>
      <c r="G19" s="1240"/>
      <c r="H19" s="1713" t="s">
        <v>243</v>
      </c>
      <c r="I19" s="1240"/>
      <c r="J19" s="1240"/>
      <c r="K19" s="1240"/>
      <c r="L19" s="1240"/>
      <c r="M19" s="1713" t="s">
        <v>244</v>
      </c>
      <c r="N19" s="1713"/>
      <c r="O19" s="1713"/>
      <c r="P19" s="1713"/>
      <c r="Q19" s="1713"/>
      <c r="R19" s="1713"/>
      <c r="S19" s="1713"/>
      <c r="T19" s="1713"/>
      <c r="U19" s="1713"/>
      <c r="V19" s="507"/>
      <c r="W19" s="1713" t="s">
        <v>206</v>
      </c>
      <c r="X19" s="1713"/>
      <c r="Y19" s="1713"/>
      <c r="Z19" s="1713"/>
      <c r="AA19" s="507"/>
      <c r="AB19" s="507"/>
      <c r="AC19" s="1713" t="s">
        <v>278</v>
      </c>
      <c r="AD19" s="1776"/>
      <c r="AE19" s="1776"/>
      <c r="AF19" s="1776"/>
      <c r="AG19" s="1776"/>
      <c r="AH19" s="1776"/>
      <c r="AI19" s="507"/>
      <c r="AJ19" s="1713" t="s">
        <v>246</v>
      </c>
      <c r="AK19" s="1713"/>
      <c r="AL19" s="1713"/>
      <c r="AM19" s="1713"/>
      <c r="AN19" s="1776"/>
      <c r="AO19" s="179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row>
    <row r="20" spans="1:87" ht="15" customHeight="1">
      <c r="A20" s="1859"/>
      <c r="B20" s="1808"/>
      <c r="C20" s="1808"/>
      <c r="D20" s="1808"/>
      <c r="E20" s="1808"/>
      <c r="F20" s="833"/>
      <c r="G20" s="518"/>
      <c r="H20" s="1932" t="str">
        <f>+IF(ISERR(MID(ZAKL_DATA!B32,1,+FIND("-",ZAKL_DATA!B32)-1))," ",MID(ZAKL_DATA!B32,1,+FIND("-",ZAKL_DATA!B32)-1))</f>
        <v xml:space="preserve"> </v>
      </c>
      <c r="I20" s="1128"/>
      <c r="J20" s="1128"/>
      <c r="K20" s="1880"/>
      <c r="L20" s="506" t="s">
        <v>155</v>
      </c>
      <c r="M20" s="1859">
        <f>IF(ISERR(+MID(ZAKL_DATA!B32,+FIND("-",ZAKL_DATA!B32)+1,20)),ZAKL_DATA!B32,+MID(ZAKL_DATA!B32,+FIND("-",ZAKL_DATA!B32)+1,20))</f>
        <v>0</v>
      </c>
      <c r="N20" s="1860"/>
      <c r="O20" s="1860"/>
      <c r="P20" s="1860"/>
      <c r="Q20" s="1860"/>
      <c r="R20" s="1860"/>
      <c r="S20" s="1860"/>
      <c r="T20" s="1860"/>
      <c r="U20" s="1869"/>
      <c r="V20" s="506" t="s">
        <v>245</v>
      </c>
      <c r="W20" s="1927">
        <f>+ZAKL_DATA!B33</f>
        <v>0</v>
      </c>
      <c r="X20" s="1860"/>
      <c r="Y20" s="1860"/>
      <c r="Z20" s="1869"/>
      <c r="AA20" s="1728"/>
      <c r="AB20" s="1728"/>
      <c r="AC20" s="1859" t="str">
        <f>+N3</f>
        <v/>
      </c>
      <c r="AD20" s="1860"/>
      <c r="AE20" s="1860"/>
      <c r="AF20" s="1860"/>
      <c r="AG20" s="1860"/>
      <c r="AH20" s="1869"/>
      <c r="AI20" s="358"/>
      <c r="AJ20" s="1927"/>
      <c r="AK20" s="1928"/>
      <c r="AL20" s="1928"/>
      <c r="AM20" s="1928"/>
      <c r="AN20" s="1929"/>
      <c r="AO20" s="1930"/>
    </row>
    <row r="21" spans="1:87" ht="9.9499999999999993" customHeight="1">
      <c r="A21" s="1732"/>
      <c r="B21" s="1728"/>
      <c r="C21" s="1728"/>
      <c r="D21" s="1728"/>
      <c r="E21" s="1728"/>
      <c r="F21" s="1728"/>
      <c r="G21" s="1728"/>
      <c r="H21" s="1728"/>
      <c r="I21" s="1728"/>
      <c r="J21" s="1728"/>
      <c r="K21" s="1728"/>
      <c r="L21" s="1728"/>
      <c r="M21" s="1728"/>
      <c r="N21" s="1728"/>
      <c r="O21" s="1728"/>
      <c r="P21" s="1728"/>
      <c r="Q21" s="1728"/>
      <c r="R21" s="1728"/>
      <c r="S21" s="1728"/>
      <c r="T21" s="1728"/>
      <c r="U21" s="1728"/>
      <c r="V21" s="1728"/>
      <c r="W21" s="1728"/>
      <c r="X21" s="1728"/>
      <c r="Y21" s="1728"/>
      <c r="Z21" s="1728"/>
      <c r="AA21" s="1728"/>
      <c r="AB21" s="1728"/>
      <c r="AC21" s="1728"/>
      <c r="AD21" s="1728"/>
      <c r="AE21" s="1728"/>
      <c r="AF21" s="1728"/>
      <c r="AG21" s="1728"/>
      <c r="AH21" s="1728"/>
      <c r="AI21" s="1728"/>
      <c r="AJ21" s="1728"/>
      <c r="AK21" s="1728"/>
      <c r="AL21" s="1728"/>
      <c r="AM21" s="1728"/>
      <c r="AN21" s="1728"/>
      <c r="AO21" s="1855"/>
    </row>
    <row r="22" spans="1:87" ht="15" customHeight="1">
      <c r="A22" s="501" t="s">
        <v>211</v>
      </c>
      <c r="B22" s="256"/>
      <c r="C22" s="1922" t="s">
        <v>2670</v>
      </c>
      <c r="D22" s="893"/>
      <c r="E22" s="893"/>
      <c r="F22" s="893"/>
      <c r="G22" s="893"/>
      <c r="H22" s="893"/>
      <c r="I22" s="893"/>
      <c r="J22" s="893"/>
      <c r="K22" s="893"/>
      <c r="L22" s="893"/>
      <c r="M22" s="893"/>
      <c r="N22" s="893"/>
      <c r="O22" s="893"/>
      <c r="P22" s="893"/>
      <c r="Q22" s="893"/>
      <c r="R22" s="893"/>
      <c r="S22" s="893"/>
      <c r="T22" s="893"/>
      <c r="U22" s="893"/>
      <c r="V22" s="893"/>
      <c r="W22" s="893"/>
      <c r="X22" s="893"/>
      <c r="Y22" s="893"/>
      <c r="Z22" s="893"/>
      <c r="AA22" s="893"/>
      <c r="AB22" s="893"/>
      <c r="AC22" s="893"/>
      <c r="AD22" s="893"/>
      <c r="AE22" s="893"/>
      <c r="AF22" s="893"/>
      <c r="AG22" s="893"/>
      <c r="AH22" s="893"/>
      <c r="AI22" s="893"/>
      <c r="AJ22" s="893"/>
      <c r="AK22" s="893"/>
      <c r="AL22" s="893"/>
      <c r="AM22" s="893"/>
      <c r="AN22" s="893"/>
      <c r="AO22" s="1931"/>
    </row>
    <row r="23" spans="1:87" ht="12" customHeight="1">
      <c r="A23" s="1763" t="s">
        <v>247</v>
      </c>
      <c r="B23" s="1764"/>
      <c r="C23" s="1764"/>
      <c r="D23" s="1764"/>
      <c r="E23" s="1240"/>
      <c r="F23" s="1713" t="s">
        <v>39</v>
      </c>
      <c r="G23" s="1240"/>
      <c r="H23" s="1240"/>
      <c r="I23" s="1240"/>
      <c r="J23" s="1240"/>
      <c r="K23" s="1713" t="s">
        <v>248</v>
      </c>
      <c r="L23" s="1713"/>
      <c r="M23" s="1713"/>
      <c r="N23" s="1713"/>
      <c r="O23" s="1713"/>
      <c r="P23" s="1713"/>
      <c r="Q23" s="1713"/>
      <c r="R23" s="1713"/>
      <c r="S23" s="1713"/>
      <c r="T23" s="1240"/>
      <c r="U23" s="1240"/>
      <c r="V23" s="1240"/>
      <c r="W23" s="1240"/>
      <c r="X23" s="1240"/>
      <c r="Y23" s="1240"/>
      <c r="Z23" s="1240"/>
      <c r="AA23" s="1240"/>
      <c r="AB23" s="1240"/>
      <c r="AC23" s="1713" t="s">
        <v>40</v>
      </c>
      <c r="AD23" s="1240"/>
      <c r="AE23" s="1240"/>
      <c r="AF23" s="1240"/>
      <c r="AG23" s="1240"/>
      <c r="AH23" s="1759" t="s">
        <v>249</v>
      </c>
      <c r="AI23" s="1759"/>
      <c r="AJ23" s="1759"/>
      <c r="AK23" s="1759"/>
      <c r="AL23" s="1759"/>
      <c r="AM23" s="1759"/>
      <c r="AN23" s="1759"/>
      <c r="AO23" s="1760"/>
    </row>
    <row r="24" spans="1:87" ht="15" customHeight="1">
      <c r="A24" s="1933"/>
      <c r="B24" s="1934"/>
      <c r="C24" s="1934"/>
      <c r="D24" s="1935"/>
      <c r="E24" s="1240"/>
      <c r="F24" s="1932"/>
      <c r="G24" s="1128"/>
      <c r="H24" s="1128"/>
      <c r="I24" s="1880"/>
      <c r="J24" s="506"/>
      <c r="K24" s="1804"/>
      <c r="L24" s="1865"/>
      <c r="M24" s="1865"/>
      <c r="N24" s="1865"/>
      <c r="O24" s="1865"/>
      <c r="P24" s="1865"/>
      <c r="Q24" s="1865"/>
      <c r="R24" s="1865"/>
      <c r="S24" s="1865"/>
      <c r="T24" s="1808"/>
      <c r="U24" s="1808"/>
      <c r="V24" s="1808"/>
      <c r="W24" s="1808"/>
      <c r="X24" s="1808"/>
      <c r="Y24" s="1808"/>
      <c r="Z24" s="1808"/>
      <c r="AA24" s="833"/>
      <c r="AB24" s="1240"/>
      <c r="AC24" s="1932"/>
      <c r="AD24" s="1128"/>
      <c r="AE24" s="1128"/>
      <c r="AF24" s="1880"/>
      <c r="AG24" s="506"/>
      <c r="AH24" s="832"/>
      <c r="AI24" s="1731"/>
      <c r="AJ24" s="1731"/>
      <c r="AK24" s="1731"/>
      <c r="AL24" s="1731"/>
      <c r="AM24" s="1731"/>
      <c r="AN24" s="1731"/>
      <c r="AO24" s="1042"/>
    </row>
    <row r="25" spans="1:87" ht="7.5" customHeight="1">
      <c r="A25" s="1732"/>
      <c r="B25" s="1728"/>
      <c r="C25" s="1728"/>
      <c r="D25" s="1728"/>
      <c r="E25" s="1728"/>
      <c r="F25" s="1728"/>
      <c r="G25" s="1728"/>
      <c r="H25" s="1728"/>
      <c r="I25" s="1728"/>
      <c r="J25" s="1728"/>
      <c r="K25" s="1728"/>
      <c r="L25" s="1728"/>
      <c r="M25" s="1728"/>
      <c r="N25" s="1728"/>
      <c r="O25" s="1728"/>
      <c r="P25" s="1728"/>
      <c r="Q25" s="1728"/>
      <c r="R25" s="1728"/>
      <c r="S25" s="1728"/>
      <c r="T25" s="1728"/>
      <c r="U25" s="1728"/>
      <c r="V25" s="1728"/>
      <c r="W25" s="1728"/>
      <c r="X25" s="1728"/>
      <c r="Y25" s="1728"/>
      <c r="Z25" s="1728"/>
      <c r="AA25" s="1728"/>
      <c r="AB25" s="1728"/>
      <c r="AC25" s="1728"/>
      <c r="AD25" s="1728"/>
      <c r="AE25" s="1728"/>
      <c r="AF25" s="1728"/>
      <c r="AG25" s="1728"/>
      <c r="AH25" s="1728"/>
      <c r="AI25" s="1728"/>
      <c r="AJ25" s="1728"/>
      <c r="AK25" s="1728"/>
      <c r="AL25" s="1728"/>
      <c r="AM25" s="1728"/>
      <c r="AN25" s="1728"/>
      <c r="AO25" s="1855"/>
    </row>
    <row r="26" spans="1:87" ht="15" customHeight="1">
      <c r="A26" s="1909" t="s">
        <v>2640</v>
      </c>
      <c r="B26" s="1910"/>
      <c r="C26" s="1910"/>
      <c r="D26" s="1910"/>
      <c r="E26" s="1910"/>
      <c r="F26" s="1910"/>
      <c r="G26" s="1910"/>
      <c r="H26" s="1910"/>
      <c r="I26" s="1910"/>
      <c r="J26" s="1910"/>
      <c r="K26" s="1910"/>
      <c r="L26" s="1910"/>
      <c r="M26" s="1910"/>
      <c r="N26" s="1910"/>
      <c r="O26" s="1910"/>
      <c r="P26" s="1910"/>
      <c r="Q26" s="1910"/>
      <c r="R26" s="1910"/>
      <c r="S26" s="1910"/>
      <c r="T26" s="1910"/>
      <c r="U26" s="1910"/>
      <c r="V26" s="1910"/>
      <c r="W26" s="1910"/>
      <c r="X26" s="1910"/>
      <c r="Y26" s="1910"/>
      <c r="Z26" s="1910"/>
      <c r="AA26" s="1910"/>
      <c r="AB26" s="1910"/>
      <c r="AC26" s="1910"/>
      <c r="AD26" s="1910"/>
      <c r="AE26" s="1910"/>
      <c r="AF26" s="1910"/>
      <c r="AG26" s="1911"/>
      <c r="AH26" s="1911"/>
      <c r="AI26" s="1911"/>
      <c r="AJ26" s="1911"/>
      <c r="AK26" s="1911"/>
      <c r="AL26" s="1911"/>
      <c r="AM26" s="1911"/>
      <c r="AN26" s="1911"/>
      <c r="AO26" s="1912"/>
    </row>
    <row r="27" spans="1:87" ht="8.1" customHeight="1">
      <c r="A27" s="1769"/>
      <c r="B27" s="1913"/>
      <c r="C27" s="1913"/>
      <c r="D27" s="1913"/>
      <c r="E27" s="1913"/>
      <c r="F27" s="1913"/>
      <c r="G27" s="1913"/>
      <c r="H27" s="1913"/>
      <c r="I27" s="1913"/>
      <c r="J27" s="1913"/>
      <c r="K27" s="1913"/>
      <c r="L27" s="1913"/>
      <c r="M27" s="1913"/>
      <c r="N27" s="1913"/>
      <c r="O27" s="1913"/>
      <c r="P27" s="1913"/>
      <c r="Q27" s="1913"/>
      <c r="R27" s="1913"/>
      <c r="S27" s="1913"/>
      <c r="T27" s="1913"/>
      <c r="U27" s="1913"/>
      <c r="V27" s="1913"/>
      <c r="W27" s="1913"/>
      <c r="X27" s="1913"/>
      <c r="Y27" s="1913"/>
      <c r="Z27" s="1913"/>
      <c r="AA27" s="1913"/>
      <c r="AB27" s="1913"/>
      <c r="AC27" s="1913"/>
      <c r="AD27" s="1913"/>
      <c r="AE27" s="1913"/>
      <c r="AF27" s="1913"/>
      <c r="AG27" s="1913"/>
      <c r="AH27" s="1913"/>
      <c r="AI27" s="1913"/>
      <c r="AJ27" s="1913"/>
      <c r="AK27" s="1913"/>
      <c r="AL27" s="1913"/>
      <c r="AM27" s="1913"/>
      <c r="AN27" s="1913"/>
      <c r="AO27" s="1914"/>
      <c r="CD27" s="21"/>
      <c r="CE27" s="21"/>
      <c r="CF27" s="21"/>
      <c r="CG27" s="21"/>
      <c r="CH27" s="21"/>
      <c r="CI27" s="21"/>
    </row>
    <row r="28" spans="1:87" ht="21.95" customHeight="1">
      <c r="A28" s="1922" t="s">
        <v>2735</v>
      </c>
      <c r="B28" s="1278"/>
      <c r="C28" s="1278"/>
      <c r="D28" s="1278"/>
      <c r="E28" s="1278"/>
      <c r="F28" s="1278"/>
      <c r="G28" s="1278"/>
      <c r="H28" s="1278"/>
      <c r="I28" s="1278"/>
      <c r="J28" s="1278"/>
      <c r="K28" s="1278"/>
      <c r="L28" s="1278"/>
      <c r="M28" s="1278"/>
      <c r="N28" s="1278"/>
      <c r="O28" s="1278"/>
      <c r="P28" s="1278"/>
      <c r="Q28" s="1852" t="s">
        <v>210</v>
      </c>
      <c r="R28" s="1853"/>
      <c r="S28" s="524"/>
      <c r="T28" s="1852" t="s">
        <v>211</v>
      </c>
      <c r="U28" s="1853"/>
      <c r="V28" s="524"/>
      <c r="W28" s="1852" t="s">
        <v>197</v>
      </c>
      <c r="X28" s="1853"/>
      <c r="Y28" s="524"/>
      <c r="Z28" s="1852" t="s">
        <v>198</v>
      </c>
      <c r="AA28" s="1853"/>
      <c r="AB28" s="524"/>
      <c r="AC28" s="1852" t="s">
        <v>199</v>
      </c>
      <c r="AD28" s="1853"/>
      <c r="AE28" s="524"/>
      <c r="AF28" s="1852" t="s">
        <v>200</v>
      </c>
      <c r="AG28" s="1853"/>
      <c r="AH28" s="524"/>
      <c r="AI28" s="1852" t="s">
        <v>2643</v>
      </c>
      <c r="AJ28" s="1853"/>
      <c r="AK28" s="524"/>
      <c r="AL28" s="1852" t="s">
        <v>2644</v>
      </c>
      <c r="AM28" s="1853"/>
      <c r="AN28" s="524"/>
      <c r="AO28" s="508"/>
      <c r="CD28" s="21"/>
      <c r="CE28" s="21"/>
      <c r="CF28" s="21"/>
      <c r="CG28" s="21"/>
      <c r="CH28" s="21"/>
      <c r="CI28" s="21"/>
    </row>
    <row r="29" spans="1:87" ht="8.1" customHeight="1">
      <c r="A29" s="1854"/>
      <c r="B29" s="1240"/>
      <c r="C29" s="1240"/>
      <c r="D29" s="1240"/>
      <c r="E29" s="1240"/>
      <c r="F29" s="1240"/>
      <c r="G29" s="1240"/>
      <c r="H29" s="1240"/>
      <c r="I29" s="1240"/>
      <c r="J29" s="1240"/>
      <c r="K29" s="1240"/>
      <c r="L29" s="1240"/>
      <c r="M29" s="1240"/>
      <c r="N29" s="1240"/>
      <c r="O29" s="1240"/>
      <c r="P29" s="1240"/>
      <c r="Q29" s="1240"/>
      <c r="R29" s="1240"/>
      <c r="S29" s="1240"/>
      <c r="T29" s="1240"/>
      <c r="U29" s="1240"/>
      <c r="V29" s="1240"/>
      <c r="W29" s="1240"/>
      <c r="X29" s="1240"/>
      <c r="Y29" s="1240"/>
      <c r="Z29" s="1240"/>
      <c r="AA29" s="1240"/>
      <c r="AB29" s="1240"/>
      <c r="AC29" s="1240"/>
      <c r="AD29" s="1240"/>
      <c r="AE29" s="1240"/>
      <c r="AF29" s="1240"/>
      <c r="AG29" s="1240"/>
      <c r="AH29" s="1240"/>
      <c r="AI29" s="1240"/>
      <c r="AJ29" s="1240"/>
      <c r="AK29" s="1240"/>
      <c r="AL29" s="1240"/>
      <c r="AM29" s="1240"/>
      <c r="AN29" s="1240"/>
      <c r="AO29" s="1736"/>
      <c r="CD29" s="21"/>
      <c r="CE29" s="21"/>
      <c r="CF29" s="21"/>
      <c r="CG29" s="21"/>
      <c r="CH29" s="21"/>
      <c r="CI29" s="21"/>
    </row>
    <row r="30" spans="1:87" ht="21.95" customHeight="1">
      <c r="A30" s="1712" t="s">
        <v>2671</v>
      </c>
      <c r="B30" s="1240"/>
      <c r="C30" s="1240"/>
      <c r="D30" s="1240"/>
      <c r="E30" s="1240"/>
      <c r="F30" s="1240"/>
      <c r="G30" s="1240"/>
      <c r="H30" s="1240"/>
      <c r="I30" s="1852" t="s">
        <v>212</v>
      </c>
      <c r="J30" s="1871"/>
      <c r="K30" s="620" t="s">
        <v>234</v>
      </c>
      <c r="L30" s="1850"/>
      <c r="M30" s="1851"/>
      <c r="N30" s="1240"/>
      <c r="O30" s="1240"/>
      <c r="P30" s="1713" t="s">
        <v>2727</v>
      </c>
      <c r="Q30" s="1240"/>
      <c r="R30" s="1240"/>
      <c r="S30" s="1240"/>
      <c r="T30" s="1240"/>
      <c r="U30" s="1240"/>
      <c r="V30" s="1240"/>
      <c r="W30" s="1240"/>
      <c r="X30" s="1240"/>
      <c r="Y30" s="1240"/>
      <c r="Z30" s="1240"/>
      <c r="AA30" s="1240"/>
      <c r="AB30" s="1240"/>
      <c r="AC30" s="1240"/>
      <c r="AD30" s="1240"/>
      <c r="AE30" s="1240"/>
      <c r="AF30" s="1240"/>
      <c r="AG30" s="1240"/>
      <c r="AH30" s="1240"/>
      <c r="AI30" s="1240"/>
      <c r="AJ30" s="1240"/>
      <c r="AK30" s="1240"/>
      <c r="AL30" s="1852" t="s">
        <v>212</v>
      </c>
      <c r="AM30" s="1871"/>
      <c r="AN30" s="620"/>
      <c r="AO30" s="503"/>
      <c r="CD30" s="21"/>
      <c r="CE30" s="21"/>
      <c r="CF30" s="21"/>
      <c r="CG30" s="21"/>
      <c r="CH30" s="21"/>
      <c r="CI30" s="21"/>
    </row>
    <row r="31" spans="1:87" ht="8.1" customHeight="1">
      <c r="A31" s="1719"/>
      <c r="B31" s="1728"/>
      <c r="C31" s="1728"/>
      <c r="D31" s="1728"/>
      <c r="E31" s="1728"/>
      <c r="F31" s="1728"/>
      <c r="G31" s="1728"/>
      <c r="H31" s="1728"/>
      <c r="I31" s="1728"/>
      <c r="J31" s="1728"/>
      <c r="K31" s="1728"/>
      <c r="L31" s="1728"/>
      <c r="M31" s="1728"/>
      <c r="N31" s="1728"/>
      <c r="O31" s="1728"/>
      <c r="P31" s="1728"/>
      <c r="Q31" s="1728"/>
      <c r="R31" s="1728"/>
      <c r="S31" s="1728"/>
      <c r="T31" s="1728"/>
      <c r="U31" s="1728"/>
      <c r="V31" s="1728"/>
      <c r="W31" s="1728"/>
      <c r="X31" s="1728"/>
      <c r="Y31" s="1728"/>
      <c r="Z31" s="1728"/>
      <c r="AA31" s="1728"/>
      <c r="AB31" s="1728"/>
      <c r="AC31" s="1728"/>
      <c r="AD31" s="1728"/>
      <c r="AE31" s="1728"/>
      <c r="AF31" s="1728"/>
      <c r="AG31" s="1728"/>
      <c r="AH31" s="1728"/>
      <c r="AI31" s="1728"/>
      <c r="AJ31" s="1728"/>
      <c r="AK31" s="1728"/>
      <c r="AL31" s="1728"/>
      <c r="AM31" s="1728"/>
      <c r="AN31" s="1728"/>
      <c r="AO31" s="1855"/>
      <c r="CD31" s="21"/>
      <c r="CE31" s="21"/>
      <c r="CF31" s="21"/>
      <c r="CG31" s="21"/>
      <c r="CH31" s="21"/>
      <c r="CI31" s="21"/>
    </row>
    <row r="32" spans="1:87" ht="21.95" customHeight="1">
      <c r="A32" s="1922" t="s">
        <v>2728</v>
      </c>
      <c r="B32" s="893"/>
      <c r="C32" s="893"/>
      <c r="D32" s="893"/>
      <c r="E32" s="893"/>
      <c r="F32" s="893"/>
      <c r="G32" s="893"/>
      <c r="H32" s="893"/>
      <c r="I32" s="1852" t="s">
        <v>212</v>
      </c>
      <c r="J32" s="1871"/>
      <c r="K32" s="620"/>
      <c r="L32" s="1850"/>
      <c r="M32" s="1851"/>
      <c r="N32" s="1240"/>
      <c r="O32" s="1240"/>
      <c r="P32" s="1775" t="s">
        <v>2672</v>
      </c>
      <c r="Q32" s="893"/>
      <c r="R32" s="893"/>
      <c r="S32" s="893"/>
      <c r="T32" s="893"/>
      <c r="U32" s="893"/>
      <c r="V32" s="893"/>
      <c r="W32" s="893"/>
      <c r="X32" s="893"/>
      <c r="Y32" s="893"/>
      <c r="Z32" s="893"/>
      <c r="AA32" s="893"/>
      <c r="AB32" s="893"/>
      <c r="AC32" s="893"/>
      <c r="AD32" s="893"/>
      <c r="AE32" s="893"/>
      <c r="AF32" s="893"/>
      <c r="AG32" s="1923"/>
      <c r="AH32" s="1924"/>
      <c r="AI32" s="1925"/>
      <c r="AJ32" s="1925"/>
      <c r="AK32" s="1925"/>
      <c r="AL32" s="1925"/>
      <c r="AM32" s="1925"/>
      <c r="AN32" s="1926"/>
      <c r="AO32" s="503"/>
      <c r="CD32" s="21"/>
      <c r="CE32" s="21"/>
      <c r="CF32" s="21"/>
      <c r="CG32" s="21"/>
      <c r="CH32" s="21"/>
      <c r="CI32" s="21"/>
    </row>
    <row r="33" spans="1:87" ht="8.1" customHeight="1">
      <c r="A33" s="1732"/>
      <c r="B33" s="1728"/>
      <c r="C33" s="1728"/>
      <c r="D33" s="1728"/>
      <c r="E33" s="1728"/>
      <c r="F33" s="1728"/>
      <c r="G33" s="1728"/>
      <c r="H33" s="1728"/>
      <c r="I33" s="1728"/>
      <c r="J33" s="1728"/>
      <c r="K33" s="1728"/>
      <c r="L33" s="1728"/>
      <c r="M33" s="1728"/>
      <c r="N33" s="1728"/>
      <c r="O33" s="1728"/>
      <c r="P33" s="1728"/>
      <c r="Q33" s="1728"/>
      <c r="R33" s="1728"/>
      <c r="S33" s="1728"/>
      <c r="T33" s="1728"/>
      <c r="U33" s="1728"/>
      <c r="V33" s="1728"/>
      <c r="W33" s="1728"/>
      <c r="X33" s="1728"/>
      <c r="Y33" s="1728"/>
      <c r="Z33" s="1728"/>
      <c r="AA33" s="1728"/>
      <c r="AB33" s="1728"/>
      <c r="AC33" s="1728"/>
      <c r="AD33" s="1728"/>
      <c r="AE33" s="1728"/>
      <c r="AF33" s="1728"/>
      <c r="AG33" s="1728"/>
      <c r="AH33" s="1728"/>
      <c r="AI33" s="1728"/>
      <c r="AJ33" s="1728"/>
      <c r="AK33" s="1728"/>
      <c r="AL33" s="1728"/>
      <c r="AM33" s="1728"/>
      <c r="AN33" s="1728"/>
      <c r="AO33" s="1855"/>
      <c r="CD33" s="21"/>
      <c r="CE33" s="21"/>
      <c r="CF33" s="21"/>
      <c r="CG33" s="21"/>
      <c r="CH33" s="21"/>
      <c r="CI33" s="21"/>
    </row>
    <row r="34" spans="1:87" ht="15" customHeight="1">
      <c r="A34" s="1766" t="s">
        <v>2536</v>
      </c>
      <c r="B34" s="1767"/>
      <c r="C34" s="1767"/>
      <c r="D34" s="1767"/>
      <c r="E34" s="1767"/>
      <c r="F34" s="1767"/>
      <c r="G34" s="1767"/>
      <c r="H34" s="1767"/>
      <c r="I34" s="1767"/>
      <c r="J34" s="1767"/>
      <c r="K34" s="1767"/>
      <c r="L34" s="1767"/>
      <c r="M34" s="1767"/>
      <c r="N34" s="1767"/>
      <c r="O34" s="1767"/>
      <c r="P34" s="1767"/>
      <c r="Q34" s="1767"/>
      <c r="R34" s="1767"/>
      <c r="S34" s="1767"/>
      <c r="T34" s="1767"/>
      <c r="U34" s="1767"/>
      <c r="V34" s="1767"/>
      <c r="W34" s="1767"/>
      <c r="X34" s="1767"/>
      <c r="Y34" s="1767"/>
      <c r="Z34" s="1767"/>
      <c r="AA34" s="1767"/>
      <c r="AB34" s="1767"/>
      <c r="AC34" s="1767"/>
      <c r="AD34" s="1767"/>
      <c r="AE34" s="1767"/>
      <c r="AF34" s="1767"/>
      <c r="AG34" s="1767"/>
      <c r="AH34" s="1767"/>
      <c r="AI34" s="1767"/>
      <c r="AJ34" s="1767"/>
      <c r="AK34" s="1767"/>
      <c r="AL34" s="1767"/>
      <c r="AM34" s="1767"/>
      <c r="AN34" s="1767"/>
      <c r="AO34" s="1768"/>
    </row>
    <row r="35" spans="1:87" ht="12" customHeight="1">
      <c r="A35" s="1915" t="s">
        <v>225</v>
      </c>
      <c r="B35" s="1916"/>
      <c r="C35" s="1916"/>
      <c r="D35" s="1916"/>
      <c r="E35" s="1916"/>
      <c r="F35" s="1916"/>
      <c r="G35" s="1916"/>
      <c r="H35" s="1916"/>
      <c r="I35" s="1916"/>
      <c r="J35" s="1916"/>
      <c r="K35" s="1916"/>
      <c r="L35" s="1887" t="s">
        <v>303</v>
      </c>
      <c r="M35" s="1917"/>
      <c r="N35" s="1917"/>
      <c r="O35" s="1917"/>
      <c r="P35" s="1917"/>
      <c r="Q35" s="1917"/>
      <c r="R35" s="1917"/>
      <c r="S35" s="1917"/>
      <c r="T35" s="1917"/>
      <c r="U35" s="1917"/>
      <c r="V35" s="1917"/>
      <c r="W35" s="1917"/>
      <c r="X35" s="1917"/>
      <c r="Y35" s="1917"/>
      <c r="Z35" s="1917"/>
      <c r="AA35" s="1917"/>
      <c r="AB35" s="1917"/>
      <c r="AC35" s="1917"/>
      <c r="AD35" s="1917"/>
      <c r="AE35" s="1917"/>
      <c r="AF35" s="1917"/>
      <c r="AG35" s="1917"/>
      <c r="AH35" s="1917"/>
      <c r="AI35" s="1917"/>
      <c r="AJ35" s="1917"/>
      <c r="AK35" s="1917"/>
      <c r="AL35" s="1917"/>
      <c r="AM35" s="1917"/>
      <c r="AN35" s="1917"/>
      <c r="AO35" s="1918"/>
    </row>
    <row r="36" spans="1:87" ht="15" customHeight="1">
      <c r="A36" s="1879"/>
      <c r="B36" s="1128"/>
      <c r="C36" s="1128"/>
      <c r="D36" s="1128"/>
      <c r="E36" s="1880"/>
      <c r="F36" s="501"/>
      <c r="G36" s="1240"/>
      <c r="H36" s="1240"/>
      <c r="I36" s="1240"/>
      <c r="J36" s="1240"/>
      <c r="K36" s="1240"/>
      <c r="L36" s="1881"/>
      <c r="M36" s="1808"/>
      <c r="N36" s="1808"/>
      <c r="O36" s="1808"/>
      <c r="P36" s="1808"/>
      <c r="Q36" s="1808"/>
      <c r="R36" s="1808"/>
      <c r="S36" s="1808"/>
      <c r="T36" s="1808"/>
      <c r="U36" s="1808"/>
      <c r="V36" s="1808"/>
      <c r="W36" s="1808"/>
      <c r="X36" s="1808"/>
      <c r="Y36" s="1808"/>
      <c r="Z36" s="1808"/>
      <c r="AA36" s="1808"/>
      <c r="AB36" s="1808"/>
      <c r="AC36" s="1808"/>
      <c r="AD36" s="1808"/>
      <c r="AE36" s="1808"/>
      <c r="AF36" s="1808"/>
      <c r="AG36" s="1808"/>
      <c r="AH36" s="1808"/>
      <c r="AI36" s="1808"/>
      <c r="AJ36" s="1808"/>
      <c r="AK36" s="1808"/>
      <c r="AL36" s="1808"/>
      <c r="AM36" s="1808"/>
      <c r="AN36" s="833"/>
      <c r="AO36" s="500"/>
    </row>
    <row r="37" spans="1:87" ht="5.0999999999999996" customHeight="1">
      <c r="A37" s="1732"/>
      <c r="B37" s="1728"/>
      <c r="C37" s="1728"/>
      <c r="D37" s="1728"/>
      <c r="E37" s="1728"/>
      <c r="F37" s="1728"/>
      <c r="G37" s="1728"/>
      <c r="H37" s="1728"/>
      <c r="I37" s="1728"/>
      <c r="J37" s="1728"/>
      <c r="K37" s="1728"/>
      <c r="L37" s="1728"/>
      <c r="M37" s="1728"/>
      <c r="N37" s="1728"/>
      <c r="O37" s="1728"/>
      <c r="P37" s="1728"/>
      <c r="Q37" s="1728"/>
      <c r="R37" s="1728"/>
      <c r="S37" s="1728"/>
      <c r="T37" s="1728"/>
      <c r="U37" s="1728"/>
      <c r="V37" s="1728"/>
      <c r="W37" s="1728"/>
      <c r="X37" s="1728"/>
      <c r="Y37" s="1728"/>
      <c r="Z37" s="1728"/>
      <c r="AA37" s="1728"/>
      <c r="AB37" s="1728"/>
      <c r="AC37" s="1728"/>
      <c r="AD37" s="1728"/>
      <c r="AE37" s="1728"/>
      <c r="AF37" s="1728"/>
      <c r="AG37" s="1728"/>
      <c r="AH37" s="1728"/>
      <c r="AI37" s="1728"/>
      <c r="AJ37" s="1728"/>
      <c r="AK37" s="1728"/>
      <c r="AL37" s="1728"/>
      <c r="AM37" s="1728"/>
      <c r="AN37" s="1728"/>
      <c r="AO37" s="1855"/>
    </row>
    <row r="38" spans="1:87" ht="15" customHeight="1">
      <c r="A38" s="1766" t="s">
        <v>2537</v>
      </c>
      <c r="B38" s="1767"/>
      <c r="C38" s="1767"/>
      <c r="D38" s="1767"/>
      <c r="E38" s="1767"/>
      <c r="F38" s="1767"/>
      <c r="G38" s="1767"/>
      <c r="H38" s="1767"/>
      <c r="I38" s="1767"/>
      <c r="J38" s="1767"/>
      <c r="K38" s="1767"/>
      <c r="L38" s="1767"/>
      <c r="M38" s="1767"/>
      <c r="N38" s="1767"/>
      <c r="O38" s="1767"/>
      <c r="P38" s="1767"/>
      <c r="Q38" s="1767"/>
      <c r="R38" s="1767"/>
      <c r="S38" s="1767"/>
      <c r="T38" s="1767"/>
      <c r="U38" s="1767"/>
      <c r="V38" s="1767"/>
      <c r="W38" s="1767"/>
      <c r="X38" s="1767"/>
      <c r="Y38" s="1767"/>
      <c r="Z38" s="1767"/>
      <c r="AA38" s="1767"/>
      <c r="AB38" s="1767"/>
      <c r="AC38" s="1767"/>
      <c r="AD38" s="1767"/>
      <c r="AE38" s="1767"/>
      <c r="AF38" s="1767"/>
      <c r="AG38" s="1767"/>
      <c r="AH38" s="1767"/>
      <c r="AI38" s="1731"/>
      <c r="AJ38" s="1731"/>
      <c r="AK38" s="1731"/>
      <c r="AL38" s="1731"/>
      <c r="AM38" s="1731"/>
      <c r="AN38" s="1731"/>
      <c r="AO38" s="1042"/>
    </row>
    <row r="39" spans="1:87" ht="5.0999999999999996" customHeight="1">
      <c r="A39" s="1732"/>
      <c r="B39" s="1728"/>
      <c r="C39" s="1728"/>
      <c r="D39" s="1728"/>
      <c r="E39" s="1728"/>
      <c r="F39" s="1728"/>
      <c r="G39" s="1728"/>
      <c r="H39" s="1728"/>
      <c r="I39" s="1728"/>
      <c r="J39" s="1728"/>
      <c r="K39" s="1728"/>
      <c r="L39" s="1728"/>
      <c r="M39" s="1728"/>
      <c r="N39" s="1728"/>
      <c r="O39" s="1728"/>
      <c r="P39" s="1728"/>
      <c r="Q39" s="1728"/>
      <c r="R39" s="1728"/>
      <c r="S39" s="1728"/>
      <c r="T39" s="1728"/>
      <c r="U39" s="1728"/>
      <c r="V39" s="1728"/>
      <c r="W39" s="1728"/>
      <c r="X39" s="1728"/>
      <c r="Y39" s="1728"/>
      <c r="Z39" s="1728"/>
      <c r="AA39" s="1728"/>
      <c r="AB39" s="1728"/>
      <c r="AC39" s="1728"/>
      <c r="AD39" s="1728"/>
      <c r="AE39" s="1728"/>
      <c r="AF39" s="1728"/>
      <c r="AG39" s="1728"/>
      <c r="AH39" s="1728"/>
      <c r="AI39" s="1826"/>
      <c r="AJ39" s="1826"/>
      <c r="AK39" s="1826"/>
      <c r="AL39" s="1826"/>
      <c r="AM39" s="1826"/>
      <c r="AN39" s="1826"/>
      <c r="AO39" s="1919"/>
    </row>
    <row r="40" spans="1:87" ht="12" customHeight="1">
      <c r="A40" s="1763" t="s">
        <v>88</v>
      </c>
      <c r="B40" s="1812"/>
      <c r="C40" s="1812"/>
      <c r="D40" s="1812"/>
      <c r="E40" s="1764"/>
      <c r="F40" s="1764"/>
      <c r="G40" s="1764"/>
      <c r="H40" s="1764"/>
      <c r="I40" s="1764"/>
      <c r="J40" s="1764"/>
      <c r="K40" s="1764"/>
      <c r="L40" s="1579"/>
      <c r="M40" s="1713" t="s">
        <v>87</v>
      </c>
      <c r="N40" s="1713"/>
      <c r="O40" s="1713"/>
      <c r="P40" s="1713"/>
      <c r="Q40" s="1713"/>
      <c r="R40" s="1713"/>
      <c r="S40" s="1776"/>
      <c r="T40" s="1776"/>
      <c r="U40" s="1776"/>
      <c r="V40" s="358"/>
      <c r="W40" s="1713" t="s">
        <v>106</v>
      </c>
      <c r="X40" s="1713"/>
      <c r="Y40" s="1713"/>
      <c r="Z40" s="1713"/>
      <c r="AA40" s="358"/>
      <c r="AB40" s="1713" t="s">
        <v>136</v>
      </c>
      <c r="AC40" s="1713"/>
      <c r="AD40" s="1713"/>
      <c r="AE40" s="1713"/>
      <c r="AF40" s="1776"/>
      <c r="AG40" s="1776"/>
      <c r="AH40" s="358"/>
      <c r="AI40" s="1920" t="s">
        <v>250</v>
      </c>
      <c r="AJ40" s="1920"/>
      <c r="AK40" s="1920"/>
      <c r="AL40" s="1920"/>
      <c r="AM40" s="1920"/>
      <c r="AN40" s="1920"/>
      <c r="AO40" s="1921"/>
    </row>
    <row r="41" spans="1:87" ht="18" customHeight="1">
      <c r="A41" s="1804" t="str">
        <f>+CONCATENATE('1Př2'!D44)</f>
        <v/>
      </c>
      <c r="B41" s="1863"/>
      <c r="C41" s="1863"/>
      <c r="D41" s="1863"/>
      <c r="E41" s="1863"/>
      <c r="F41" s="1863"/>
      <c r="G41" s="1863"/>
      <c r="H41" s="1863"/>
      <c r="I41" s="1863"/>
      <c r="J41" s="1863"/>
      <c r="K41" s="1864"/>
      <c r="L41" s="1728"/>
      <c r="M41" s="1866" t="str">
        <f>+CONCATENATE('1Př2'!B44)</f>
        <v/>
      </c>
      <c r="N41" s="1867"/>
      <c r="O41" s="1867"/>
      <c r="P41" s="1867"/>
      <c r="Q41" s="1867"/>
      <c r="R41" s="1867"/>
      <c r="S41" s="1867"/>
      <c r="T41" s="1867"/>
      <c r="U41" s="1868"/>
      <c r="V41" s="358"/>
      <c r="W41" s="1859"/>
      <c r="X41" s="1860"/>
      <c r="Y41" s="1860"/>
      <c r="Z41" s="1869"/>
      <c r="AA41" s="358"/>
      <c r="AB41" s="1879" t="str">
        <f>+MID('1Př2'!F44,1,10)</f>
        <v/>
      </c>
      <c r="AC41" s="1860"/>
      <c r="AD41" s="1860"/>
      <c r="AE41" s="1860"/>
      <c r="AF41" s="1861"/>
      <c r="AG41" s="1862"/>
      <c r="AH41" s="358"/>
      <c r="AI41" s="1859"/>
      <c r="AJ41" s="1860"/>
      <c r="AK41" s="1860"/>
      <c r="AL41" s="1860"/>
      <c r="AM41" s="1861"/>
      <c r="AN41" s="1861"/>
      <c r="AO41" s="1862"/>
    </row>
    <row r="42" spans="1:87" ht="12" customHeight="1">
      <c r="A42" s="1763" t="s">
        <v>247</v>
      </c>
      <c r="B42" s="1812"/>
      <c r="C42" s="1812"/>
      <c r="D42" s="1812"/>
      <c r="E42" s="1764"/>
      <c r="F42" s="1764"/>
      <c r="G42" s="1764"/>
      <c r="H42" s="1764"/>
      <c r="I42" s="1764"/>
      <c r="J42" s="1764"/>
      <c r="K42" s="1764"/>
      <c r="L42" s="358"/>
      <c r="M42" s="1713" t="s">
        <v>39</v>
      </c>
      <c r="N42" s="1713"/>
      <c r="O42" s="1713"/>
      <c r="P42" s="1713"/>
      <c r="Q42" s="573"/>
      <c r="R42" s="1713" t="s">
        <v>248</v>
      </c>
      <c r="S42" s="1713"/>
      <c r="T42" s="1713"/>
      <c r="U42" s="1713"/>
      <c r="V42" s="1713"/>
      <c r="W42" s="1713"/>
      <c r="X42" s="1776"/>
      <c r="Y42" s="1776"/>
      <c r="Z42" s="1776"/>
      <c r="AA42" s="358"/>
      <c r="AB42" s="1713" t="s">
        <v>40</v>
      </c>
      <c r="AC42" s="1776"/>
      <c r="AD42" s="1776"/>
      <c r="AE42" s="1776"/>
      <c r="AF42" s="1776"/>
      <c r="AG42" s="1713" t="s">
        <v>249</v>
      </c>
      <c r="AH42" s="1713"/>
      <c r="AI42" s="1713"/>
      <c r="AJ42" s="1713"/>
      <c r="AK42" s="1713"/>
      <c r="AL42" s="1713"/>
      <c r="AM42" s="1776"/>
      <c r="AN42" s="1776"/>
      <c r="AO42" s="1776"/>
    </row>
    <row r="43" spans="1:87" ht="18" customHeight="1">
      <c r="A43" s="1804" t="str">
        <f>+IF(EXACT(A41,"")," ",CONCATENATE(ZAKL_DATA!B16))</f>
        <v xml:space="preserve"> </v>
      </c>
      <c r="B43" s="1863"/>
      <c r="C43" s="1863"/>
      <c r="D43" s="1863"/>
      <c r="E43" s="1863"/>
      <c r="F43" s="1863"/>
      <c r="G43" s="1863"/>
      <c r="H43" s="1863"/>
      <c r="I43" s="1863"/>
      <c r="J43" s="1863"/>
      <c r="K43" s="1864"/>
      <c r="L43" s="358"/>
      <c r="M43" s="1804" t="str">
        <f>+IF(EXACT(A41,"")," ",CONCATENATE(ZAKL_DATA!B17))</f>
        <v xml:space="preserve"> </v>
      </c>
      <c r="N43" s="1865"/>
      <c r="O43" s="1865"/>
      <c r="P43" s="1843"/>
      <c r="Q43" s="573"/>
      <c r="R43" s="1866" t="str">
        <f>+IF(EXACT(A41,"")," ",CONCATENATE(ZAKL_DATA!B18))</f>
        <v xml:space="preserve"> </v>
      </c>
      <c r="S43" s="1867"/>
      <c r="T43" s="1867"/>
      <c r="U43" s="1867"/>
      <c r="V43" s="1867"/>
      <c r="W43" s="1867"/>
      <c r="X43" s="1867"/>
      <c r="Y43" s="1867"/>
      <c r="Z43" s="1868"/>
      <c r="AA43" s="358"/>
      <c r="AB43" s="1804" t="str">
        <f>+IF(EXACT(A41,"")," ",CONCATENATE(ZAKL_DATA!B19))</f>
        <v xml:space="preserve"> </v>
      </c>
      <c r="AC43" s="1865"/>
      <c r="AD43" s="1865"/>
      <c r="AE43" s="1843"/>
      <c r="AF43" s="519"/>
      <c r="AG43" s="1866" t="str">
        <f>+IF(EXACT(A41,"")," ",CONCATENATE(ZAKL_DATA!B20))</f>
        <v xml:space="preserve"> </v>
      </c>
      <c r="AH43" s="1867"/>
      <c r="AI43" s="1867"/>
      <c r="AJ43" s="1867"/>
      <c r="AK43" s="1867"/>
      <c r="AL43" s="1867"/>
      <c r="AM43" s="1867"/>
      <c r="AN43" s="1867"/>
      <c r="AO43" s="1868"/>
    </row>
    <row r="44" spans="1:87" ht="5.0999999999999996" customHeight="1">
      <c r="A44" s="1732"/>
      <c r="B44" s="1728"/>
      <c r="C44" s="1728"/>
      <c r="D44" s="1728"/>
      <c r="E44" s="1728"/>
      <c r="F44" s="1728"/>
      <c r="G44" s="1728"/>
      <c r="H44" s="1728"/>
      <c r="I44" s="1728"/>
      <c r="J44" s="1728"/>
      <c r="K44" s="1728"/>
      <c r="L44" s="1728"/>
      <c r="M44" s="1728"/>
      <c r="N44" s="1728"/>
      <c r="O44" s="1728"/>
      <c r="P44" s="1728"/>
      <c r="Q44" s="1728"/>
      <c r="R44" s="1728"/>
      <c r="S44" s="1728"/>
      <c r="T44" s="1728"/>
      <c r="U44" s="1728"/>
      <c r="V44" s="1728"/>
      <c r="W44" s="1728"/>
      <c r="X44" s="1728"/>
      <c r="Y44" s="1728"/>
      <c r="Z44" s="1728"/>
      <c r="AA44" s="1728"/>
      <c r="AB44" s="1728"/>
      <c r="AC44" s="1728"/>
      <c r="AD44" s="1728"/>
      <c r="AE44" s="1728"/>
      <c r="AF44" s="1728"/>
      <c r="AG44" s="1728"/>
      <c r="AH44" s="1728"/>
      <c r="AI44" s="1728"/>
      <c r="AJ44" s="1728"/>
      <c r="AK44" s="1728"/>
      <c r="AL44" s="1728"/>
      <c r="AM44" s="1728"/>
      <c r="AN44" s="1728"/>
      <c r="AO44" s="1855"/>
    </row>
    <row r="45" spans="1:87" ht="15" customHeight="1">
      <c r="A45" s="1766" t="s">
        <v>2538</v>
      </c>
      <c r="B45" s="1767"/>
      <c r="C45" s="1767"/>
      <c r="D45" s="1767"/>
      <c r="E45" s="1767"/>
      <c r="F45" s="1767"/>
      <c r="G45" s="1767"/>
      <c r="H45" s="1767"/>
      <c r="I45" s="1767"/>
      <c r="J45" s="1767"/>
      <c r="K45" s="1767"/>
      <c r="L45" s="1767"/>
      <c r="M45" s="1767"/>
      <c r="N45" s="1767"/>
      <c r="O45" s="1767"/>
      <c r="P45" s="1767"/>
      <c r="Q45" s="1767"/>
      <c r="R45" s="1767"/>
      <c r="S45" s="1767"/>
      <c r="T45" s="1767"/>
      <c r="U45" s="1767"/>
      <c r="V45" s="1767"/>
      <c r="W45" s="1767"/>
      <c r="X45" s="1767"/>
      <c r="Y45" s="1767"/>
      <c r="Z45" s="1767"/>
      <c r="AA45" s="1767"/>
      <c r="AB45" s="1767"/>
      <c r="AC45" s="1767"/>
      <c r="AD45" s="1767"/>
      <c r="AE45" s="1767"/>
      <c r="AF45" s="1767"/>
      <c r="AG45" s="1767"/>
      <c r="AH45" s="1767"/>
      <c r="AI45" s="1767"/>
      <c r="AJ45" s="1767"/>
      <c r="AK45" s="1767"/>
      <c r="AL45" s="1767"/>
      <c r="AM45" s="1767"/>
      <c r="AN45" s="1767"/>
      <c r="AO45" s="1768"/>
    </row>
    <row r="46" spans="1:87" ht="26.1" customHeight="1">
      <c r="A46" s="1856" t="s">
        <v>2736</v>
      </c>
      <c r="B46" s="1857"/>
      <c r="C46" s="1857"/>
      <c r="D46" s="1857"/>
      <c r="E46" s="1857"/>
      <c r="F46" s="1857"/>
      <c r="G46" s="1857"/>
      <c r="H46" s="1857"/>
      <c r="I46" s="1857"/>
      <c r="J46" s="1857"/>
      <c r="K46" s="1857"/>
      <c r="L46" s="1857"/>
      <c r="M46" s="1857"/>
      <c r="N46" s="1857"/>
      <c r="O46" s="1857"/>
      <c r="P46" s="1857"/>
      <c r="Q46" s="1857"/>
      <c r="R46" s="1857"/>
      <c r="S46" s="1857"/>
      <c r="T46" s="1857"/>
      <c r="U46" s="1857"/>
      <c r="V46" s="1857"/>
      <c r="W46" s="1857"/>
      <c r="X46" s="1857"/>
      <c r="Y46" s="1857"/>
      <c r="Z46" s="1857"/>
      <c r="AA46" s="1857"/>
      <c r="AB46" s="1857"/>
      <c r="AC46" s="1857"/>
      <c r="AD46" s="1857"/>
      <c r="AE46" s="1857"/>
      <c r="AF46" s="1857"/>
      <c r="AG46" s="1857"/>
      <c r="AH46" s="1857"/>
      <c r="AI46" s="1857"/>
      <c r="AJ46" s="1857"/>
      <c r="AK46" s="1857"/>
      <c r="AL46" s="1857"/>
      <c r="AM46" s="1857"/>
      <c r="AN46" s="1857"/>
      <c r="AO46" s="1858"/>
    </row>
    <row r="47" spans="1:87" ht="4.5" customHeight="1">
      <c r="A47" s="1907"/>
      <c r="B47" s="1908"/>
      <c r="C47" s="1908"/>
      <c r="D47" s="1908"/>
      <c r="E47" s="1908"/>
      <c r="F47" s="1908"/>
      <c r="G47" s="1908"/>
      <c r="H47" s="1908"/>
      <c r="I47" s="1908"/>
      <c r="J47" s="1908"/>
      <c r="K47" s="1908"/>
      <c r="L47" s="1908"/>
      <c r="M47" s="1908"/>
      <c r="N47" s="1908"/>
      <c r="O47" s="1908"/>
      <c r="P47" s="1908"/>
      <c r="Q47" s="1908"/>
      <c r="R47" s="1908"/>
      <c r="S47" s="1908"/>
      <c r="T47" s="1908"/>
      <c r="U47" s="1908"/>
      <c r="V47" s="1908"/>
      <c r="W47" s="1908"/>
      <c r="X47" s="1908"/>
      <c r="Y47" s="1908"/>
      <c r="Z47" s="1908"/>
      <c r="AA47" s="1908"/>
      <c r="AB47" s="1908"/>
      <c r="AC47" s="1908"/>
      <c r="AD47" s="1908"/>
      <c r="AE47" s="1908"/>
      <c r="AF47" s="1908"/>
      <c r="AG47" s="1908"/>
      <c r="AH47" s="1908"/>
      <c r="AI47" s="1908"/>
      <c r="AJ47" s="1908"/>
      <c r="AK47" s="598"/>
      <c r="AL47" s="598"/>
      <c r="AM47" s="598"/>
      <c r="AN47" s="598"/>
      <c r="AO47" s="599"/>
    </row>
    <row r="48" spans="1:87" ht="15" customHeight="1">
      <c r="A48" s="1766" t="s">
        <v>2504</v>
      </c>
      <c r="B48" s="1767"/>
      <c r="C48" s="1767"/>
      <c r="D48" s="1767"/>
      <c r="E48" s="1767"/>
      <c r="F48" s="1767"/>
      <c r="G48" s="1767"/>
      <c r="H48" s="1767"/>
      <c r="I48" s="1767"/>
      <c r="J48" s="1767"/>
      <c r="K48" s="1767"/>
      <c r="L48" s="1767"/>
      <c r="M48" s="1767"/>
      <c r="N48" s="1767"/>
      <c r="O48" s="1767"/>
      <c r="P48" s="1767"/>
      <c r="Q48" s="1767"/>
      <c r="R48" s="1767"/>
      <c r="S48" s="1767"/>
      <c r="T48" s="1767"/>
      <c r="U48" s="1767"/>
      <c r="V48" s="1767"/>
      <c r="W48" s="1767"/>
      <c r="X48" s="1767"/>
      <c r="Y48" s="1767"/>
      <c r="Z48" s="1767"/>
      <c r="AA48" s="1767"/>
      <c r="AB48" s="1767"/>
      <c r="AC48" s="1767"/>
      <c r="AD48" s="1767"/>
      <c r="AE48" s="1767"/>
      <c r="AF48" s="1767"/>
      <c r="AG48" s="1767"/>
      <c r="AH48" s="1767"/>
      <c r="AI48" s="1767"/>
      <c r="AJ48" s="1767"/>
      <c r="AK48" s="1767"/>
      <c r="AL48" s="1767"/>
      <c r="AM48" s="1767"/>
      <c r="AN48" s="1767"/>
      <c r="AO48" s="1768"/>
    </row>
    <row r="49" spans="1:41" ht="12.95" customHeight="1">
      <c r="A49" s="1872"/>
      <c r="B49" s="1649"/>
      <c r="C49" s="1649"/>
      <c r="D49" s="1649"/>
      <c r="E49" s="1649"/>
      <c r="F49" s="1649"/>
      <c r="G49" s="1649"/>
      <c r="H49" s="1649"/>
      <c r="I49" s="1649"/>
      <c r="J49" s="1649"/>
      <c r="K49" s="1649"/>
      <c r="L49" s="1649"/>
      <c r="M49" s="1649"/>
      <c r="N49" s="1649"/>
      <c r="O49" s="1649"/>
      <c r="P49" s="1649"/>
      <c r="Q49" s="1649"/>
      <c r="R49" s="1649"/>
      <c r="S49" s="1649"/>
      <c r="T49" s="1649"/>
      <c r="U49" s="1649"/>
      <c r="V49" s="1649"/>
      <c r="W49" s="1649"/>
      <c r="X49" s="1649"/>
      <c r="Y49" s="1649"/>
      <c r="Z49" s="1649"/>
      <c r="AA49" s="1649"/>
      <c r="AB49" s="1649"/>
      <c r="AC49" s="1649"/>
      <c r="AD49" s="1649"/>
      <c r="AE49" s="1649"/>
      <c r="AF49" s="1649"/>
      <c r="AG49" s="1649"/>
      <c r="AH49" s="1649"/>
      <c r="AI49" s="1813" t="s">
        <v>251</v>
      </c>
      <c r="AJ49" s="1870"/>
      <c r="AK49" s="1870"/>
      <c r="AL49" s="1649"/>
      <c r="AM49" s="1649"/>
      <c r="AN49" s="1649"/>
      <c r="AO49" s="1770"/>
    </row>
    <row r="50" spans="1:41" ht="18" customHeight="1">
      <c r="A50" s="1712" t="s">
        <v>2611</v>
      </c>
      <c r="B50" s="1240"/>
      <c r="C50" s="1240"/>
      <c r="D50" s="620"/>
      <c r="E50" s="1850"/>
      <c r="F50" s="1851"/>
      <c r="G50" s="1240"/>
      <c r="H50" s="1240"/>
      <c r="I50" s="1240"/>
      <c r="J50" s="1240"/>
      <c r="K50" s="1240"/>
      <c r="L50" s="1240"/>
      <c r="M50" s="1240"/>
      <c r="N50" s="1240"/>
      <c r="O50" s="1240"/>
      <c r="P50" s="1240"/>
      <c r="Q50" s="1713" t="s">
        <v>2612</v>
      </c>
      <c r="R50" s="1240"/>
      <c r="S50" s="1240"/>
      <c r="T50" s="1240"/>
      <c r="U50" s="1852" t="s">
        <v>212</v>
      </c>
      <c r="V50" s="1871"/>
      <c r="W50" s="620"/>
      <c r="X50" s="1850"/>
      <c r="Y50" s="1851"/>
      <c r="Z50" s="1240"/>
      <c r="AA50" s="1240"/>
      <c r="AB50" s="1240"/>
      <c r="AC50" s="1240"/>
      <c r="AD50" s="1240"/>
      <c r="AE50" s="1240"/>
      <c r="AF50" s="1240"/>
      <c r="AG50" s="1240"/>
      <c r="AH50" s="924"/>
      <c r="AI50" s="1859">
        <v>0</v>
      </c>
      <c r="AJ50" s="1869"/>
      <c r="AK50" s="1790"/>
      <c r="AL50" s="1240"/>
      <c r="AM50" s="1240"/>
      <c r="AN50" s="1240"/>
      <c r="AO50" s="1736"/>
    </row>
    <row r="51" spans="1:41" ht="5.0999999999999996" customHeight="1">
      <c r="A51" s="1854"/>
      <c r="B51" s="1240"/>
      <c r="C51" s="1240"/>
      <c r="D51" s="1240"/>
      <c r="E51" s="1240"/>
      <c r="F51" s="1240"/>
      <c r="G51" s="1240"/>
      <c r="H51" s="1240"/>
      <c r="I51" s="1240"/>
      <c r="J51" s="1240"/>
      <c r="K51" s="1240"/>
      <c r="L51" s="1240"/>
      <c r="M51" s="1240"/>
      <c r="N51" s="1240"/>
      <c r="O51" s="1240"/>
      <c r="P51" s="1240"/>
      <c r="Q51" s="1240"/>
      <c r="R51" s="1240"/>
      <c r="S51" s="1240"/>
      <c r="T51" s="1240"/>
      <c r="U51" s="1240"/>
      <c r="V51" s="1240"/>
      <c r="W51" s="1240"/>
      <c r="X51" s="1240"/>
      <c r="Y51" s="1240"/>
      <c r="Z51" s="1240"/>
      <c r="AA51" s="1240"/>
      <c r="AB51" s="1240"/>
      <c r="AC51" s="1240"/>
      <c r="AD51" s="1240"/>
      <c r="AE51" s="1240"/>
      <c r="AF51" s="1240"/>
      <c r="AG51" s="1240"/>
      <c r="AH51" s="1240"/>
      <c r="AI51" s="1240"/>
      <c r="AJ51" s="1240"/>
      <c r="AK51" s="1240"/>
      <c r="AL51" s="1240"/>
      <c r="AM51" s="1240"/>
      <c r="AN51" s="1240"/>
      <c r="AO51" s="1736"/>
    </row>
    <row r="52" spans="1:41">
      <c r="A52" s="1725" t="s">
        <v>41</v>
      </c>
      <c r="B52" s="1713"/>
      <c r="C52" s="1713"/>
      <c r="D52" s="1728"/>
      <c r="E52" s="1728"/>
      <c r="F52" s="1728"/>
      <c r="G52" s="1728"/>
      <c r="H52" s="1728"/>
      <c r="I52" s="1728"/>
      <c r="J52" s="1728"/>
      <c r="K52" s="1728"/>
      <c r="L52" s="1728"/>
      <c r="M52" s="1728"/>
      <c r="N52" s="1728"/>
      <c r="O52" s="1728"/>
      <c r="P52" s="1728"/>
      <c r="Q52" s="1728"/>
      <c r="R52" s="1728"/>
      <c r="S52" s="1728"/>
      <c r="T52" s="1728"/>
      <c r="U52" s="1728"/>
      <c r="V52" s="1728"/>
      <c r="W52" s="1728"/>
      <c r="X52" s="1728"/>
      <c r="Y52" s="1728"/>
      <c r="Z52" s="1728"/>
      <c r="AA52" s="1728"/>
      <c r="AB52" s="1728"/>
      <c r="AC52" s="1728"/>
      <c r="AD52" s="1728"/>
      <c r="AE52" s="1728"/>
      <c r="AF52" s="1728"/>
      <c r="AG52" s="1240"/>
      <c r="AH52" s="1240"/>
      <c r="AI52" s="1822" t="s">
        <v>285</v>
      </c>
      <c r="AJ52" s="1822"/>
      <c r="AK52" s="1822"/>
      <c r="AL52" s="1822"/>
      <c r="AM52" s="1822"/>
      <c r="AN52" s="1822"/>
      <c r="AO52" s="1892"/>
    </row>
    <row r="53" spans="1:41" ht="18" customHeight="1">
      <c r="A53" s="1893">
        <f ca="1">+TODAY()</f>
        <v>46094</v>
      </c>
      <c r="B53" s="1860"/>
      <c r="C53" s="1894"/>
      <c r="D53" s="358"/>
      <c r="E53" s="1728"/>
      <c r="F53" s="1728"/>
      <c r="G53" s="1776"/>
      <c r="H53" s="1776"/>
      <c r="I53" s="1776"/>
      <c r="J53" s="1776"/>
      <c r="K53" s="1776"/>
      <c r="L53" s="1895" t="s">
        <v>252</v>
      </c>
      <c r="M53" s="1896"/>
      <c r="N53" s="1896"/>
      <c r="O53" s="1896"/>
      <c r="P53" s="1896"/>
      <c r="Q53" s="1896"/>
      <c r="R53" s="1896"/>
      <c r="S53" s="1896"/>
      <c r="T53" s="1896"/>
      <c r="U53" s="1897"/>
      <c r="V53" s="505"/>
      <c r="W53" s="1895" t="s">
        <v>253</v>
      </c>
      <c r="X53" s="1896"/>
      <c r="Y53" s="1896"/>
      <c r="Z53" s="1896"/>
      <c r="AA53" s="1896"/>
      <c r="AB53" s="1896"/>
      <c r="AC53" s="1896"/>
      <c r="AD53" s="1897"/>
      <c r="AE53" s="1728"/>
      <c r="AF53" s="1728"/>
      <c r="AG53" s="1728"/>
      <c r="AH53" s="1728"/>
      <c r="AI53" s="1904"/>
      <c r="AJ53" s="1890"/>
      <c r="AK53" s="1890"/>
      <c r="AL53" s="1890"/>
      <c r="AM53" s="1890"/>
      <c r="AN53" s="1890"/>
      <c r="AO53" s="1891"/>
    </row>
    <row r="54" spans="1:41">
      <c r="A54" s="1712"/>
      <c r="B54" s="1240"/>
      <c r="C54" s="1240"/>
      <c r="D54" s="1240"/>
      <c r="E54" s="1776"/>
      <c r="F54" s="1776"/>
      <c r="G54" s="1776"/>
      <c r="H54" s="1776"/>
      <c r="I54" s="1776"/>
      <c r="J54" s="1776"/>
      <c r="K54" s="1776"/>
      <c r="L54" s="1898"/>
      <c r="M54" s="1899"/>
      <c r="N54" s="1899"/>
      <c r="O54" s="1899"/>
      <c r="P54" s="1899"/>
      <c r="Q54" s="1899"/>
      <c r="R54" s="1899"/>
      <c r="S54" s="1899"/>
      <c r="T54" s="1899"/>
      <c r="U54" s="1900"/>
      <c r="V54" s="505"/>
      <c r="W54" s="1898"/>
      <c r="X54" s="1899"/>
      <c r="Y54" s="1899"/>
      <c r="Z54" s="1899"/>
      <c r="AA54" s="1899"/>
      <c r="AB54" s="1899"/>
      <c r="AC54" s="1899"/>
      <c r="AD54" s="1900"/>
      <c r="AE54" s="358"/>
      <c r="AF54" s="358"/>
      <c r="AG54" s="358"/>
      <c r="AH54" s="358"/>
      <c r="AI54" s="1887" t="s">
        <v>2376</v>
      </c>
      <c r="AJ54" s="1887"/>
      <c r="AK54" s="1887"/>
      <c r="AL54" s="1887"/>
      <c r="AM54" s="1887"/>
      <c r="AN54" s="1887"/>
      <c r="AO54" s="1888"/>
    </row>
    <row r="55" spans="1:41" ht="18" customHeight="1">
      <c r="A55" s="1752"/>
      <c r="B55" s="1240"/>
      <c r="C55" s="1240"/>
      <c r="D55" s="1240"/>
      <c r="E55" s="1776"/>
      <c r="F55" s="1776"/>
      <c r="G55" s="1776"/>
      <c r="H55" s="1776"/>
      <c r="I55" s="1776"/>
      <c r="J55" s="1776"/>
      <c r="K55" s="1776"/>
      <c r="L55" s="1898"/>
      <c r="M55" s="1899"/>
      <c r="N55" s="1899"/>
      <c r="O55" s="1899"/>
      <c r="P55" s="1899"/>
      <c r="Q55" s="1899"/>
      <c r="R55" s="1899"/>
      <c r="S55" s="1899"/>
      <c r="T55" s="1899"/>
      <c r="U55" s="1900"/>
      <c r="V55" s="505"/>
      <c r="W55" s="1898"/>
      <c r="X55" s="1899"/>
      <c r="Y55" s="1899"/>
      <c r="Z55" s="1899"/>
      <c r="AA55" s="1899"/>
      <c r="AB55" s="1899"/>
      <c r="AC55" s="1899"/>
      <c r="AD55" s="1900"/>
      <c r="AE55" s="358"/>
      <c r="AF55" s="358"/>
      <c r="AG55" s="358"/>
      <c r="AH55" s="358"/>
      <c r="AI55" s="1889"/>
      <c r="AJ55" s="1890"/>
      <c r="AK55" s="1890"/>
      <c r="AL55" s="1890"/>
      <c r="AM55" s="1890"/>
      <c r="AN55" s="1890"/>
      <c r="AO55" s="1891"/>
    </row>
    <row r="56" spans="1:41" ht="38.1" customHeight="1">
      <c r="A56" s="1752"/>
      <c r="B56" s="1240"/>
      <c r="C56" s="1240"/>
      <c r="D56" s="1240"/>
      <c r="E56" s="1776"/>
      <c r="F56" s="1776"/>
      <c r="G56" s="1776"/>
      <c r="H56" s="1776"/>
      <c r="I56" s="1776"/>
      <c r="J56" s="1776"/>
      <c r="K56" s="1776"/>
      <c r="L56" s="1898"/>
      <c r="M56" s="1899"/>
      <c r="N56" s="1899"/>
      <c r="O56" s="1899"/>
      <c r="P56" s="1899"/>
      <c r="Q56" s="1899"/>
      <c r="R56" s="1899"/>
      <c r="S56" s="1899"/>
      <c r="T56" s="1899"/>
      <c r="U56" s="1900"/>
      <c r="V56" s="505"/>
      <c r="W56" s="1898"/>
      <c r="X56" s="1899"/>
      <c r="Y56" s="1899"/>
      <c r="Z56" s="1899"/>
      <c r="AA56" s="1899"/>
      <c r="AB56" s="1899"/>
      <c r="AC56" s="1899"/>
      <c r="AD56" s="1900"/>
      <c r="AE56" s="1719"/>
      <c r="AF56" s="1240"/>
      <c r="AG56" s="1240"/>
      <c r="AH56" s="1240"/>
      <c r="AI56" s="1240"/>
      <c r="AJ56" s="1240"/>
      <c r="AK56" s="1240"/>
      <c r="AL56" s="1240"/>
      <c r="AM56" s="1240"/>
      <c r="AN56" s="1240"/>
      <c r="AO56" s="1736"/>
    </row>
    <row r="57" spans="1:41">
      <c r="A57" s="1752"/>
      <c r="B57" s="1240"/>
      <c r="C57" s="1240"/>
      <c r="D57" s="1240"/>
      <c r="E57" s="1776"/>
      <c r="F57" s="1776"/>
      <c r="G57" s="1776"/>
      <c r="H57" s="1776"/>
      <c r="I57" s="1776"/>
      <c r="J57" s="1776"/>
      <c r="K57" s="1776"/>
      <c r="L57" s="1901"/>
      <c r="M57" s="1902"/>
      <c r="N57" s="1902"/>
      <c r="O57" s="1902"/>
      <c r="P57" s="1902"/>
      <c r="Q57" s="1902"/>
      <c r="R57" s="1902"/>
      <c r="S57" s="1902"/>
      <c r="T57" s="1902"/>
      <c r="U57" s="1903"/>
      <c r="V57" s="505"/>
      <c r="W57" s="1901"/>
      <c r="X57" s="1902"/>
      <c r="Y57" s="1902"/>
      <c r="Z57" s="1902"/>
      <c r="AA57" s="1902"/>
      <c r="AB57" s="1902"/>
      <c r="AC57" s="1902"/>
      <c r="AD57" s="1903"/>
      <c r="AE57" s="1752"/>
      <c r="AF57" s="1240"/>
      <c r="AG57" s="1240"/>
      <c r="AH57" s="1240"/>
      <c r="AI57" s="1240"/>
      <c r="AJ57" s="1240"/>
      <c r="AK57" s="1240"/>
      <c r="AL57" s="1240"/>
      <c r="AM57" s="1240"/>
      <c r="AN57" s="1240"/>
      <c r="AO57" s="1736"/>
    </row>
    <row r="58" spans="1:41">
      <c r="A58" s="1873" t="s">
        <v>2696</v>
      </c>
      <c r="B58" s="1874"/>
      <c r="C58" s="1874"/>
      <c r="D58" s="1874"/>
      <c r="E58" s="1874"/>
      <c r="F58" s="1874"/>
      <c r="G58" s="1874"/>
      <c r="H58" s="1874"/>
      <c r="I58" s="1874"/>
      <c r="J58" s="1874"/>
      <c r="K58" s="1874"/>
      <c r="L58" s="1874"/>
      <c r="M58" s="1874"/>
      <c r="N58" s="1874"/>
      <c r="O58" s="1874"/>
      <c r="P58" s="1874"/>
      <c r="Q58" s="1874"/>
      <c r="R58" s="1874"/>
      <c r="S58" s="1874"/>
      <c r="T58" s="1874"/>
      <c r="U58" s="1874"/>
      <c r="V58" s="1874"/>
      <c r="W58" s="1874"/>
      <c r="X58" s="1874"/>
      <c r="Y58" s="1874"/>
      <c r="Z58" s="1874"/>
      <c r="AA58" s="1874"/>
      <c r="AB58" s="1874"/>
      <c r="AC58" s="1874"/>
      <c r="AD58" s="1874"/>
      <c r="AE58" s="1874"/>
      <c r="AF58" s="1874"/>
      <c r="AG58" s="1874"/>
      <c r="AH58" s="1874"/>
      <c r="AI58" s="1874"/>
      <c r="AJ58" s="1874"/>
      <c r="AK58" s="1874"/>
      <c r="AL58" s="1874"/>
      <c r="AM58" s="1874"/>
      <c r="AN58" s="1874"/>
      <c r="AO58" s="1875"/>
    </row>
    <row r="59" spans="1:41" ht="27.95" customHeight="1">
      <c r="A59" s="1876" t="s">
        <v>2748</v>
      </c>
      <c r="B59" s="1877"/>
      <c r="C59" s="1877"/>
      <c r="D59" s="1877"/>
      <c r="E59" s="1877"/>
      <c r="F59" s="1877"/>
      <c r="G59" s="1877"/>
      <c r="H59" s="1877"/>
      <c r="I59" s="1877"/>
      <c r="J59" s="1877"/>
      <c r="K59" s="1877"/>
      <c r="L59" s="1877"/>
      <c r="M59" s="1877"/>
      <c r="N59" s="1877"/>
      <c r="O59" s="1877"/>
      <c r="P59" s="1877"/>
      <c r="Q59" s="1877"/>
      <c r="R59" s="1877"/>
      <c r="S59" s="1877"/>
      <c r="T59" s="1877"/>
      <c r="U59" s="1877"/>
      <c r="V59" s="1877"/>
      <c r="W59" s="1877"/>
      <c r="X59" s="1877"/>
      <c r="Y59" s="1877"/>
      <c r="Z59" s="1877"/>
      <c r="AA59" s="1877"/>
      <c r="AB59" s="1877"/>
      <c r="AC59" s="1877"/>
      <c r="AD59" s="1877"/>
      <c r="AE59" s="1877"/>
      <c r="AF59" s="1877"/>
      <c r="AG59" s="1877"/>
      <c r="AH59" s="1877"/>
      <c r="AI59" s="1877"/>
      <c r="AJ59" s="1877"/>
      <c r="AK59" s="1877"/>
      <c r="AL59" s="1877"/>
      <c r="AM59" s="1877"/>
      <c r="AN59" s="1877"/>
      <c r="AO59" s="1878"/>
    </row>
    <row r="60" spans="1:41">
      <c r="A60" s="1719"/>
      <c r="B60" s="814"/>
      <c r="C60" s="814"/>
      <c r="D60" s="814"/>
      <c r="E60" s="814"/>
      <c r="F60" s="814"/>
      <c r="G60" s="814"/>
      <c r="H60" s="814"/>
      <c r="I60" s="814"/>
      <c r="J60" s="814"/>
      <c r="K60" s="814"/>
      <c r="L60" s="814"/>
      <c r="M60" s="814"/>
      <c r="N60" s="814"/>
      <c r="O60" s="814"/>
      <c r="P60" s="814"/>
      <c r="Q60" s="814"/>
      <c r="R60" s="814"/>
      <c r="S60" s="814"/>
      <c r="T60" s="814"/>
      <c r="U60" s="814"/>
      <c r="V60" s="814"/>
      <c r="W60" s="814"/>
      <c r="X60" s="814"/>
      <c r="Y60" s="814"/>
      <c r="Z60" s="814"/>
      <c r="AA60" s="814"/>
      <c r="AB60" s="814"/>
      <c r="AC60" s="814"/>
      <c r="AD60" s="814"/>
      <c r="AE60" s="814"/>
      <c r="AF60" s="814"/>
      <c r="AG60" s="814"/>
      <c r="AH60" s="814"/>
      <c r="AI60" s="1905" t="s">
        <v>254</v>
      </c>
      <c r="AJ60" s="1905"/>
      <c r="AK60" s="1905"/>
      <c r="AL60" s="1905"/>
      <c r="AM60" s="1905"/>
      <c r="AN60" s="1905"/>
      <c r="AO60" s="1906"/>
    </row>
    <row r="61" spans="1:41" ht="15" customHeight="1">
      <c r="A61" s="1882" t="str">
        <f>+'DAP1'!A46</f>
        <v>Formulář zpracovala ASPEKT HM, daňová, účetní a auditorská kancelář, www.danovapriznani.cz, business.center.cz</v>
      </c>
      <c r="B61" s="1883"/>
      <c r="C61" s="1883"/>
      <c r="D61" s="1883"/>
      <c r="E61" s="1883"/>
      <c r="F61" s="1883"/>
      <c r="G61" s="1883"/>
      <c r="H61" s="1883"/>
      <c r="I61" s="1883"/>
      <c r="J61" s="1883"/>
      <c r="K61" s="1883"/>
      <c r="L61" s="1883"/>
      <c r="M61" s="1883"/>
      <c r="N61" s="1883"/>
      <c r="O61" s="1883"/>
      <c r="P61" s="1883"/>
      <c r="Q61" s="1883"/>
      <c r="R61" s="1883"/>
      <c r="S61" s="1883"/>
      <c r="T61" s="1883"/>
      <c r="U61" s="1883"/>
      <c r="V61" s="1883"/>
      <c r="W61" s="1883"/>
      <c r="X61" s="1883"/>
      <c r="Y61" s="1883"/>
      <c r="Z61" s="1883"/>
      <c r="AA61" s="1883"/>
      <c r="AB61" s="1883"/>
      <c r="AC61" s="1883"/>
      <c r="AD61" s="1883"/>
      <c r="AE61" s="1883"/>
      <c r="AF61" s="1883"/>
      <c r="AG61" s="1883"/>
      <c r="AH61" s="1883"/>
      <c r="AI61" s="1883"/>
      <c r="AJ61" s="1884" t="s">
        <v>2737</v>
      </c>
      <c r="AK61" s="1885"/>
      <c r="AL61" s="1885"/>
      <c r="AM61" s="1885"/>
      <c r="AN61" s="1885"/>
      <c r="AO61" s="1886"/>
    </row>
    <row r="62" spans="1:4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row>
    <row r="65" spans="1:4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row>
    <row r="66" spans="1:4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row>
    <row r="67" spans="1:4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row>
    <row r="68" spans="1:4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pans="1:4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pans="1:4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row>
    <row r="71" spans="1:4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row>
    <row r="72" spans="1:4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row>
    <row r="73" spans="1:4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row>
    <row r="74" spans="1:4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row>
    <row r="75" spans="1:4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row>
    <row r="76" spans="1:4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row>
    <row r="77" spans="1:4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row>
    <row r="78" spans="1:41" s="21" customFormat="1"/>
    <row r="79" spans="1:41" s="21" customFormat="1"/>
    <row r="80" spans="1:41"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sheetData>
  <sheetProtection algorithmName="SHA-512" hashValue="K/+LD3S3ktDq8DcuSwd5uEQ4N9aAiAwzBkZWid84j0UofayRk8KjSp7wmDuEEmlnkjiAZ3MC/vSF/yHha+7YZA==" saltValue="grd6THH5CPv4D/3iVHG4BQ==" spinCount="100000" sheet="1" objects="1" scenarios="1"/>
  <mergeCells count="151">
    <mergeCell ref="A8:AO8"/>
    <mergeCell ref="A9:Q9"/>
    <mergeCell ref="T9:AM9"/>
    <mergeCell ref="A6:AO6"/>
    <mergeCell ref="A7:K7"/>
    <mergeCell ref="M7:P7"/>
    <mergeCell ref="A4:AO4"/>
    <mergeCell ref="A1:C3"/>
    <mergeCell ref="D1:AI1"/>
    <mergeCell ref="D2:M3"/>
    <mergeCell ref="N2:V2"/>
    <mergeCell ref="W2:AH2"/>
    <mergeCell ref="N3:V3"/>
    <mergeCell ref="W3:AO3"/>
    <mergeCell ref="A5:AO5"/>
    <mergeCell ref="R7:S7"/>
    <mergeCell ref="T7:AM7"/>
    <mergeCell ref="A12:AO12"/>
    <mergeCell ref="A13:AO13"/>
    <mergeCell ref="A14:AO14"/>
    <mergeCell ref="A11:C11"/>
    <mergeCell ref="D11:J11"/>
    <mergeCell ref="K11:R11"/>
    <mergeCell ref="S11:Y11"/>
    <mergeCell ref="Z11:AG11"/>
    <mergeCell ref="AH11:AN11"/>
    <mergeCell ref="A15:F15"/>
    <mergeCell ref="G15:O15"/>
    <mergeCell ref="P15:Q15"/>
    <mergeCell ref="R15:AM15"/>
    <mergeCell ref="D18:AO18"/>
    <mergeCell ref="A19:G19"/>
    <mergeCell ref="H19:L19"/>
    <mergeCell ref="M19:U19"/>
    <mergeCell ref="W19:Z19"/>
    <mergeCell ref="AC19:AH19"/>
    <mergeCell ref="AJ19:AO19"/>
    <mergeCell ref="A16:AO16"/>
    <mergeCell ref="A17:AO17"/>
    <mergeCell ref="AJ20:AO20"/>
    <mergeCell ref="A21:AO21"/>
    <mergeCell ref="C22:AO22"/>
    <mergeCell ref="A23:D23"/>
    <mergeCell ref="E23:E24"/>
    <mergeCell ref="F23:J23"/>
    <mergeCell ref="K23:AA23"/>
    <mergeCell ref="AB23:AB24"/>
    <mergeCell ref="AC23:AG23"/>
    <mergeCell ref="AH23:AO23"/>
    <mergeCell ref="A20:F20"/>
    <mergeCell ref="H20:K20"/>
    <mergeCell ref="M20:U20"/>
    <mergeCell ref="W20:Z20"/>
    <mergeCell ref="AA20:AB20"/>
    <mergeCell ref="AC20:AH20"/>
    <mergeCell ref="A24:D24"/>
    <mergeCell ref="F24:I24"/>
    <mergeCell ref="K24:AA24"/>
    <mergeCell ref="AC24:AF24"/>
    <mergeCell ref="AH24:AO24"/>
    <mergeCell ref="A25:AO25"/>
    <mergeCell ref="AL30:AM30"/>
    <mergeCell ref="A31:AO31"/>
    <mergeCell ref="A32:H32"/>
    <mergeCell ref="I32:J32"/>
    <mergeCell ref="P32:AG32"/>
    <mergeCell ref="AH32:AN32"/>
    <mergeCell ref="A28:P28"/>
    <mergeCell ref="Q28:R28"/>
    <mergeCell ref="T28:U28"/>
    <mergeCell ref="W28:X28"/>
    <mergeCell ref="Z28:AA28"/>
    <mergeCell ref="AC28:AD28"/>
    <mergeCell ref="A42:K42"/>
    <mergeCell ref="M43:P43"/>
    <mergeCell ref="M42:P42"/>
    <mergeCell ref="A26:AO26"/>
    <mergeCell ref="A27:AO27"/>
    <mergeCell ref="A30:H30"/>
    <mergeCell ref="I30:J30"/>
    <mergeCell ref="A34:AO34"/>
    <mergeCell ref="A35:K35"/>
    <mergeCell ref="L35:AO35"/>
    <mergeCell ref="AI39:AO39"/>
    <mergeCell ref="A40:K40"/>
    <mergeCell ref="L40:L41"/>
    <mergeCell ref="M40:U40"/>
    <mergeCell ref="W40:Z40"/>
    <mergeCell ref="AB40:AG40"/>
    <mergeCell ref="AI40:AO40"/>
    <mergeCell ref="A41:K41"/>
    <mergeCell ref="M41:U41"/>
    <mergeCell ref="W41:Z41"/>
    <mergeCell ref="AB41:AG41"/>
    <mergeCell ref="A54:D57"/>
    <mergeCell ref="AE56:AO57"/>
    <mergeCell ref="A58:AO58"/>
    <mergeCell ref="A59:AO59"/>
    <mergeCell ref="A60:AH60"/>
    <mergeCell ref="A36:E36"/>
    <mergeCell ref="G36:K36"/>
    <mergeCell ref="L36:AN36"/>
    <mergeCell ref="A61:AI61"/>
    <mergeCell ref="AJ61:AO61"/>
    <mergeCell ref="AI54:AO54"/>
    <mergeCell ref="AI55:AO55"/>
    <mergeCell ref="A52:C52"/>
    <mergeCell ref="AI52:AO52"/>
    <mergeCell ref="A53:C53"/>
    <mergeCell ref="E53:K57"/>
    <mergeCell ref="L53:U57"/>
    <mergeCell ref="W53:AD57"/>
    <mergeCell ref="AE53:AH53"/>
    <mergeCell ref="AI53:AO53"/>
    <mergeCell ref="D52:AH52"/>
    <mergeCell ref="AI60:AO60"/>
    <mergeCell ref="A47:AJ47"/>
    <mergeCell ref="R43:Z43"/>
    <mergeCell ref="A51:AO51"/>
    <mergeCell ref="AI50:AJ50"/>
    <mergeCell ref="AI49:AO49"/>
    <mergeCell ref="AK50:AO50"/>
    <mergeCell ref="A50:C50"/>
    <mergeCell ref="Q50:T50"/>
    <mergeCell ref="U50:V50"/>
    <mergeCell ref="A49:AH49"/>
    <mergeCell ref="A48:AO48"/>
    <mergeCell ref="A10:AO10"/>
    <mergeCell ref="L30:O30"/>
    <mergeCell ref="P30:AK30"/>
    <mergeCell ref="L32:O32"/>
    <mergeCell ref="E50:P50"/>
    <mergeCell ref="X50:AH50"/>
    <mergeCell ref="AF28:AG28"/>
    <mergeCell ref="AI28:AJ28"/>
    <mergeCell ref="AL28:AM28"/>
    <mergeCell ref="A29:AO29"/>
    <mergeCell ref="A44:AO44"/>
    <mergeCell ref="A45:AO45"/>
    <mergeCell ref="A46:AO46"/>
    <mergeCell ref="A37:AO37"/>
    <mergeCell ref="AI41:AO41"/>
    <mergeCell ref="A43:K43"/>
    <mergeCell ref="A33:AO33"/>
    <mergeCell ref="R42:Z42"/>
    <mergeCell ref="AB42:AF42"/>
    <mergeCell ref="AB43:AE43"/>
    <mergeCell ref="AG42:AO42"/>
    <mergeCell ref="AG43:AO43"/>
    <mergeCell ref="A38:AO38"/>
    <mergeCell ref="A39:AH39"/>
  </mergeCells>
  <printOptions horizontalCentered="1" verticalCentered="1"/>
  <pageMargins left="0.19685039370078741" right="0.19685039370078741" top="0.39370078740157483" bottom="0.39370078740157483" header="0.51181102362204722" footer="0.51181102362204722"/>
  <pageSetup paperSize="9" scale="89" orientation="portrait" horizontalDpi="300" verticalDpi="300"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5">
    <tabColor rgb="FFFFFF99"/>
    <pageSetUpPr fitToPage="1"/>
  </sheetPr>
  <dimension ref="A1:BS102"/>
  <sheetViews>
    <sheetView workbookViewId="0">
      <selection activeCell="R15" sqref="R15"/>
    </sheetView>
  </sheetViews>
  <sheetFormatPr defaultRowHeight="12.75"/>
  <cols>
    <col min="1" max="1" width="3.7109375" customWidth="1"/>
    <col min="2" max="2" width="25.42578125" customWidth="1"/>
    <col min="3" max="3" width="3.28515625" customWidth="1"/>
    <col min="5" max="31" width="3.140625" customWidth="1"/>
    <col min="32" max="71" width="9.140625" style="377"/>
  </cols>
  <sheetData>
    <row r="1" spans="1:71" ht="45.75" customHeight="1">
      <c r="A1" s="1963" t="s">
        <v>2443</v>
      </c>
      <c r="B1" s="1964"/>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row>
    <row r="2" spans="1:71">
      <c r="A2" s="1700"/>
      <c r="B2" s="1240"/>
      <c r="C2" s="1240"/>
      <c r="D2" s="1240"/>
      <c r="E2" s="1240"/>
      <c r="F2" s="1240"/>
      <c r="G2" s="1240"/>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row>
    <row r="3" spans="1:71" ht="18">
      <c r="A3" s="1965" t="s">
        <v>2410</v>
      </c>
      <c r="B3" s="1966"/>
      <c r="C3" s="1966"/>
      <c r="D3" s="1966"/>
      <c r="E3" s="1966"/>
      <c r="F3" s="1966"/>
      <c r="G3" s="1966"/>
      <c r="H3" s="1966"/>
      <c r="I3" s="1966"/>
      <c r="J3" s="1966"/>
      <c r="K3" s="1966"/>
      <c r="L3" s="1966"/>
      <c r="M3" s="1966"/>
      <c r="N3" s="1966"/>
      <c r="O3" s="1966"/>
      <c r="P3" s="1966"/>
      <c r="Q3" s="1966"/>
      <c r="R3" s="1966"/>
      <c r="S3" s="1966"/>
      <c r="T3" s="1966"/>
      <c r="U3" s="1966"/>
      <c r="V3" s="1966"/>
      <c r="W3" s="1966"/>
      <c r="X3" s="1966"/>
      <c r="Y3" s="1966"/>
      <c r="Z3" s="1966"/>
      <c r="AA3" s="1966"/>
      <c r="AB3" s="1966"/>
      <c r="AC3" s="1966"/>
      <c r="AD3" s="1966"/>
      <c r="AE3" s="1966"/>
    </row>
    <row r="4" spans="1:71" ht="18">
      <c r="A4" s="1965" t="s">
        <v>2411</v>
      </c>
      <c r="B4" s="1966"/>
      <c r="C4" s="1966"/>
      <c r="D4" s="1966"/>
      <c r="E4" s="1966"/>
      <c r="F4" s="1966"/>
      <c r="G4" s="1966"/>
      <c r="H4" s="1966"/>
      <c r="I4" s="1966"/>
      <c r="J4" s="1966"/>
      <c r="K4" s="1966"/>
      <c r="L4" s="1966"/>
      <c r="M4" s="1966"/>
      <c r="N4" s="1966"/>
      <c r="O4" s="1966"/>
      <c r="P4" s="1966"/>
      <c r="Q4" s="1966"/>
      <c r="R4" s="1966"/>
      <c r="S4" s="1966"/>
      <c r="T4" s="1966"/>
      <c r="U4" s="1966"/>
      <c r="V4" s="1966"/>
      <c r="W4" s="1966"/>
      <c r="X4" s="1966"/>
      <c r="Y4" s="1966"/>
      <c r="Z4" s="1966"/>
      <c r="AA4" s="1966"/>
      <c r="AB4" s="1966"/>
      <c r="AC4" s="1966"/>
      <c r="AD4" s="1966"/>
      <c r="AE4" s="1966"/>
    </row>
    <row r="5" spans="1:71" ht="15.75">
      <c r="A5" s="1967" t="s">
        <v>2412</v>
      </c>
      <c r="B5" s="1968"/>
      <c r="C5" s="1968"/>
      <c r="D5" s="1968"/>
      <c r="E5" s="1968"/>
      <c r="F5" s="1968"/>
      <c r="G5" s="1968"/>
      <c r="H5" s="1968"/>
      <c r="I5" s="1968"/>
      <c r="J5" s="1968"/>
      <c r="K5" s="1968"/>
      <c r="L5" s="1968"/>
      <c r="M5" s="1968"/>
      <c r="N5" s="1968"/>
      <c r="O5" s="1968"/>
      <c r="P5" s="1968"/>
      <c r="Q5" s="1968"/>
      <c r="R5" s="1968"/>
      <c r="S5" s="1968"/>
      <c r="T5" s="1968"/>
      <c r="U5" s="1968"/>
      <c r="V5" s="1968"/>
      <c r="W5" s="1968"/>
      <c r="X5" s="1968"/>
      <c r="Y5" s="1968"/>
      <c r="Z5" s="1968"/>
      <c r="AA5" s="1968"/>
      <c r="AB5" s="1968"/>
      <c r="AC5" s="1968"/>
      <c r="AD5" s="1968"/>
      <c r="AE5" s="1968"/>
    </row>
    <row r="6" spans="1:71">
      <c r="A6" s="1700"/>
      <c r="B6" s="1240"/>
      <c r="C6" s="1240"/>
      <c r="D6" s="1240"/>
      <c r="E6" s="1240"/>
      <c r="F6" s="1240"/>
      <c r="G6" s="1240"/>
      <c r="H6" s="1240"/>
      <c r="I6" s="1240"/>
      <c r="J6" s="1240"/>
      <c r="K6" s="1240"/>
      <c r="L6" s="1240"/>
      <c r="M6" s="1240"/>
      <c r="N6" s="1240"/>
      <c r="O6" s="1240"/>
      <c r="P6" s="1240"/>
      <c r="Q6" s="1240"/>
      <c r="R6" s="1240"/>
      <c r="S6" s="1240"/>
      <c r="T6" s="1240"/>
      <c r="U6" s="1240"/>
      <c r="V6" s="1240"/>
      <c r="W6" s="1240"/>
      <c r="X6" s="1240"/>
      <c r="Y6" s="1240"/>
      <c r="Z6" s="1240"/>
      <c r="AA6" s="1240"/>
      <c r="AB6" s="1240"/>
      <c r="AC6" s="1240"/>
      <c r="AD6" s="1240"/>
      <c r="AE6" s="1240"/>
    </row>
    <row r="7" spans="1:71" ht="27" customHeight="1">
      <c r="A7" s="1969" t="s">
        <v>2413</v>
      </c>
      <c r="B7" s="1970"/>
      <c r="C7" s="364"/>
      <c r="D7" s="1976" t="s">
        <v>2414</v>
      </c>
      <c r="E7" s="1977"/>
      <c r="F7" s="1977"/>
      <c r="G7" s="1977"/>
      <c r="H7" s="1977"/>
      <c r="I7" s="1977"/>
      <c r="J7" s="1977"/>
      <c r="K7" s="1977"/>
      <c r="L7" s="1977"/>
      <c r="M7" s="1977"/>
      <c r="N7" s="1977"/>
      <c r="O7" s="1977"/>
      <c r="P7" s="1977"/>
      <c r="Q7" s="364"/>
      <c r="R7" s="1979" t="s">
        <v>2415</v>
      </c>
      <c r="S7" s="1980"/>
      <c r="T7" s="1980"/>
      <c r="U7" s="1980"/>
      <c r="V7" s="1980"/>
      <c r="W7" s="1980"/>
      <c r="X7" s="1980"/>
      <c r="Y7" s="1980"/>
      <c r="Z7" s="1980"/>
      <c r="AA7" s="1980"/>
      <c r="AB7" s="1980"/>
      <c r="AC7" s="1980"/>
      <c r="AD7" s="1980"/>
      <c r="AE7" s="1980"/>
    </row>
    <row r="8" spans="1:71" ht="18" customHeight="1">
      <c r="A8" s="1971" t="str">
        <f>+'SP1'!$A$6:$F$6</f>
        <v/>
      </c>
      <c r="B8" s="1972"/>
      <c r="C8" s="361"/>
      <c r="D8" s="1973"/>
      <c r="E8" s="1649"/>
      <c r="F8" s="1649"/>
      <c r="G8" s="1649"/>
      <c r="H8" s="1649"/>
      <c r="I8" s="1649"/>
      <c r="J8" s="1649"/>
      <c r="K8" s="1649"/>
      <c r="L8" s="1649"/>
      <c r="M8" s="1649"/>
      <c r="N8" s="1649"/>
      <c r="O8" s="1649"/>
      <c r="P8" s="1770"/>
      <c r="Q8" s="361"/>
      <c r="R8" s="1978" t="str">
        <f>+'SP1'!$U$6</f>
        <v/>
      </c>
      <c r="S8" s="1749"/>
      <c r="T8" s="1749"/>
      <c r="U8" s="1749"/>
      <c r="V8" s="1749"/>
      <c r="W8" s="1749"/>
      <c r="X8" s="1749"/>
      <c r="Y8" s="1749"/>
      <c r="Z8" s="1749"/>
      <c r="AA8" s="1749"/>
      <c r="AB8" s="1749"/>
      <c r="AC8" s="1749"/>
      <c r="AD8" s="1749"/>
      <c r="AE8" s="991"/>
    </row>
    <row r="9" spans="1:71" ht="15" customHeight="1">
      <c r="A9" s="361"/>
      <c r="B9" s="361"/>
      <c r="C9" s="361"/>
      <c r="D9" s="1974"/>
      <c r="E9" s="1240"/>
      <c r="F9" s="1240"/>
      <c r="G9" s="1240"/>
      <c r="H9" s="1240"/>
      <c r="I9" s="1240"/>
      <c r="J9" s="1240"/>
      <c r="K9" s="1240"/>
      <c r="L9" s="1240"/>
      <c r="M9" s="1240"/>
      <c r="N9" s="1240"/>
      <c r="O9" s="1240"/>
      <c r="P9" s="1736"/>
      <c r="Q9" s="361"/>
      <c r="R9" s="361"/>
      <c r="S9" s="361"/>
      <c r="T9" s="361"/>
      <c r="U9" s="361"/>
      <c r="V9" s="361"/>
      <c r="W9" s="361"/>
      <c r="X9" s="361"/>
      <c r="Y9" s="361"/>
      <c r="Z9" s="361"/>
      <c r="AA9" s="361"/>
      <c r="AB9" s="361"/>
      <c r="AC9" s="361"/>
      <c r="AD9" s="361"/>
      <c r="AE9" s="361"/>
    </row>
    <row r="10" spans="1:71" ht="15" customHeight="1">
      <c r="A10" s="361"/>
      <c r="B10" s="361"/>
      <c r="C10" s="361"/>
      <c r="D10" s="1975"/>
      <c r="E10" s="1764"/>
      <c r="F10" s="1764"/>
      <c r="G10" s="1764"/>
      <c r="H10" s="1764"/>
      <c r="I10" s="1764"/>
      <c r="J10" s="1764"/>
      <c r="K10" s="1764"/>
      <c r="L10" s="1764"/>
      <c r="M10" s="1764"/>
      <c r="N10" s="1764"/>
      <c r="O10" s="1764"/>
      <c r="P10" s="1765"/>
      <c r="Q10" s="361"/>
      <c r="R10" s="361"/>
      <c r="S10" s="361"/>
      <c r="T10" s="361"/>
      <c r="U10" s="361"/>
      <c r="V10" s="361"/>
      <c r="W10" s="361"/>
      <c r="X10" s="361"/>
      <c r="Y10" s="361"/>
      <c r="Z10" s="361"/>
      <c r="AA10" s="361"/>
      <c r="AB10" s="361"/>
      <c r="AC10" s="361"/>
      <c r="AD10" s="361"/>
      <c r="AE10" s="361"/>
    </row>
    <row r="11" spans="1:71">
      <c r="A11" s="1700"/>
      <c r="B11" s="1240"/>
      <c r="C11" s="1240"/>
      <c r="D11" s="1240"/>
      <c r="E11" s="1240"/>
      <c r="F11" s="1240"/>
      <c r="G11" s="1240"/>
      <c r="H11" s="1240"/>
      <c r="I11" s="1240"/>
      <c r="J11" s="1240"/>
      <c r="K11" s="1240"/>
      <c r="L11" s="1240"/>
      <c r="M11" s="1240"/>
      <c r="N11" s="1240"/>
      <c r="O11" s="1240"/>
      <c r="P11" s="1240"/>
      <c r="Q11" s="1240"/>
      <c r="R11" s="1240"/>
      <c r="S11" s="1240"/>
      <c r="T11" s="1240"/>
      <c r="U11" s="1240"/>
      <c r="V11" s="1240"/>
      <c r="W11" s="1240"/>
      <c r="X11" s="1240"/>
      <c r="Y11" s="1240"/>
      <c r="Z11" s="1240"/>
      <c r="AA11" s="1240"/>
      <c r="AB11" s="1240"/>
      <c r="AC11" s="1240"/>
      <c r="AD11" s="1240"/>
      <c r="AE11" s="1240"/>
    </row>
    <row r="12" spans="1:71" s="310" customFormat="1" ht="18" customHeight="1">
      <c r="A12" s="1981" t="s">
        <v>2416</v>
      </c>
      <c r="B12" s="1982"/>
      <c r="C12" s="1982"/>
      <c r="D12" s="1982"/>
      <c r="E12" s="1982"/>
      <c r="F12" s="1982"/>
      <c r="G12" s="1982"/>
      <c r="H12" s="1982"/>
      <c r="I12" s="1982"/>
      <c r="J12" s="1982"/>
      <c r="K12" s="1982"/>
      <c r="L12" s="1982"/>
      <c r="M12" s="1982"/>
      <c r="N12" s="1982"/>
      <c r="O12" s="1982"/>
      <c r="P12" s="1982"/>
      <c r="Q12" s="1982"/>
      <c r="R12" s="1982"/>
      <c r="S12" s="1982"/>
      <c r="T12" s="1982"/>
      <c r="U12" s="1982"/>
      <c r="V12" s="1982"/>
      <c r="W12" s="1982"/>
      <c r="X12" s="1982"/>
      <c r="Y12" s="1982"/>
      <c r="Z12" s="1982"/>
      <c r="AA12" s="1982"/>
      <c r="AB12" s="1982"/>
      <c r="AC12" s="1982"/>
      <c r="AD12" s="1982"/>
      <c r="AE12" s="1983"/>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78"/>
      <c r="BF12" s="378"/>
      <c r="BG12" s="378"/>
      <c r="BH12" s="378"/>
      <c r="BI12" s="378"/>
      <c r="BJ12" s="378"/>
      <c r="BK12" s="378"/>
      <c r="BL12" s="378"/>
      <c r="BM12" s="378"/>
      <c r="BN12" s="378"/>
      <c r="BO12" s="378"/>
      <c r="BP12" s="378"/>
      <c r="BQ12" s="378"/>
      <c r="BR12" s="378"/>
      <c r="BS12" s="378"/>
    </row>
    <row r="13" spans="1:71">
      <c r="A13" s="365"/>
      <c r="B13" s="366" t="s">
        <v>88</v>
      </c>
      <c r="C13" s="366"/>
      <c r="D13" s="1988" t="s">
        <v>87</v>
      </c>
      <c r="E13" s="1989"/>
      <c r="F13" s="1989"/>
      <c r="G13" s="1989"/>
      <c r="H13" s="1989"/>
      <c r="I13" s="1989"/>
      <c r="J13" s="366"/>
      <c r="K13" s="1988" t="s">
        <v>106</v>
      </c>
      <c r="L13" s="1989"/>
      <c r="M13" s="1989"/>
      <c r="N13" s="1989"/>
      <c r="O13" s="1989"/>
      <c r="P13" s="1989"/>
      <c r="Q13" s="366"/>
      <c r="R13" s="1988" t="s">
        <v>250</v>
      </c>
      <c r="S13" s="1989"/>
      <c r="T13" s="1989"/>
      <c r="U13" s="1989"/>
      <c r="V13" s="1989"/>
      <c r="W13" s="1989"/>
      <c r="X13" s="366"/>
      <c r="Y13" s="1988" t="s">
        <v>136</v>
      </c>
      <c r="Z13" s="1989"/>
      <c r="AA13" s="1989"/>
      <c r="AB13" s="1989"/>
      <c r="AC13" s="1989"/>
      <c r="AD13" s="1989"/>
      <c r="AE13" s="367"/>
    </row>
    <row r="14" spans="1:71" ht="18" customHeight="1">
      <c r="A14" s="365"/>
      <c r="B14" s="520" t="str">
        <f>+CONCATENATE('SP1'!$A$10)</f>
        <v>0</v>
      </c>
      <c r="C14" s="361"/>
      <c r="D14" s="1986" t="str">
        <f>+CONCATENATE('SP1'!$H$10)</f>
        <v>0</v>
      </c>
      <c r="E14" s="1731"/>
      <c r="F14" s="1731"/>
      <c r="G14" s="1731"/>
      <c r="H14" s="1731"/>
      <c r="I14" s="1987"/>
      <c r="J14" s="361"/>
      <c r="K14" s="1990" t="str">
        <f>+CONCATENATE('SP1'!$Q$10)</f>
        <v/>
      </c>
      <c r="L14" s="1808"/>
      <c r="M14" s="1808"/>
      <c r="N14" s="1808"/>
      <c r="O14" s="1808"/>
      <c r="P14" s="1991"/>
      <c r="Q14" s="361"/>
      <c r="R14" s="1992">
        <f>+'SP1'!$A$12</f>
        <v>0</v>
      </c>
      <c r="S14" s="1128"/>
      <c r="T14" s="1128"/>
      <c r="U14" s="1128"/>
      <c r="V14" s="1128"/>
      <c r="W14" s="1993"/>
      <c r="X14" s="361"/>
      <c r="Y14" s="1994" t="str">
        <f>+'SP1'!$Y$10</f>
        <v/>
      </c>
      <c r="Z14" s="1749"/>
      <c r="AA14" s="1749"/>
      <c r="AB14" s="1749"/>
      <c r="AC14" s="1749"/>
      <c r="AD14" s="991"/>
      <c r="AE14" s="368"/>
    </row>
    <row r="15" spans="1:71" ht="5.0999999999999996" customHeight="1">
      <c r="A15" s="369"/>
      <c r="B15" s="370"/>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1"/>
    </row>
    <row r="16" spans="1:71" ht="18" customHeight="1">
      <c r="A16" s="1981" t="s">
        <v>2419</v>
      </c>
      <c r="B16" s="1982"/>
      <c r="C16" s="1982"/>
      <c r="D16" s="1982"/>
      <c r="E16" s="1982"/>
      <c r="F16" s="1982"/>
      <c r="G16" s="1982"/>
      <c r="H16" s="1982"/>
      <c r="I16" s="1982"/>
      <c r="J16" s="1982"/>
      <c r="K16" s="1982"/>
      <c r="L16" s="1982"/>
      <c r="M16" s="1982"/>
      <c r="N16" s="1982"/>
      <c r="O16" s="1982"/>
      <c r="P16" s="1982"/>
      <c r="Q16" s="1982"/>
      <c r="R16" s="1982"/>
      <c r="S16" s="1982"/>
      <c r="T16" s="1982"/>
      <c r="U16" s="1982"/>
      <c r="V16" s="1982"/>
      <c r="W16" s="1982"/>
      <c r="X16" s="1982"/>
      <c r="Y16" s="1982"/>
      <c r="Z16" s="1982"/>
      <c r="AA16" s="1982"/>
      <c r="AB16" s="1982"/>
      <c r="AC16" s="1982"/>
      <c r="AD16" s="1982"/>
      <c r="AE16" s="1983"/>
    </row>
    <row r="17" spans="1:31">
      <c r="A17" s="365"/>
      <c r="B17" s="1995" t="s">
        <v>2420</v>
      </c>
      <c r="C17" s="1240"/>
      <c r="D17" s="1240"/>
      <c r="E17" s="1240"/>
      <c r="F17" s="1240"/>
      <c r="G17" s="1240"/>
      <c r="H17" s="1240"/>
      <c r="I17" s="1240"/>
      <c r="J17" s="1240"/>
      <c r="K17" s="1240"/>
      <c r="L17" s="1240"/>
      <c r="M17" s="1240"/>
      <c r="N17" s="1240"/>
      <c r="O17" s="1240"/>
      <c r="P17" s="1240"/>
      <c r="Q17" s="1240"/>
      <c r="R17" s="1240"/>
      <c r="S17" s="1240"/>
      <c r="T17" s="1240"/>
      <c r="U17" s="1240"/>
      <c r="V17" s="1240"/>
      <c r="W17" s="1240"/>
      <c r="X17" s="1240"/>
      <c r="Y17" s="1240"/>
      <c r="Z17" s="1240"/>
      <c r="AA17" s="1240"/>
      <c r="AB17" s="1240"/>
      <c r="AC17" s="1240"/>
      <c r="AD17" s="1240"/>
      <c r="AE17" s="368"/>
    </row>
    <row r="18" spans="1:31" ht="18" customHeight="1">
      <c r="A18" s="365"/>
      <c r="B18" s="1996"/>
      <c r="C18" s="1808"/>
      <c r="D18" s="1808"/>
      <c r="E18" s="1808"/>
      <c r="F18" s="1808"/>
      <c r="G18" s="1808"/>
      <c r="H18" s="1808"/>
      <c r="I18" s="1808"/>
      <c r="J18" s="1808"/>
      <c r="K18" s="1808"/>
      <c r="L18" s="1808"/>
      <c r="M18" s="1808"/>
      <c r="N18" s="1808"/>
      <c r="O18" s="1808"/>
      <c r="P18" s="1808"/>
      <c r="Q18" s="1808"/>
      <c r="R18" s="1808"/>
      <c r="S18" s="1808"/>
      <c r="T18" s="1808"/>
      <c r="U18" s="1808"/>
      <c r="V18" s="1808"/>
      <c r="W18" s="1808"/>
      <c r="X18" s="1808"/>
      <c r="Y18" s="1808"/>
      <c r="Z18" s="1808"/>
      <c r="AA18" s="1808"/>
      <c r="AB18" s="1808"/>
      <c r="AC18" s="1808"/>
      <c r="AD18" s="1991"/>
      <c r="AE18" s="368"/>
    </row>
    <row r="19" spans="1:31" ht="5.0999999999999996" customHeight="1">
      <c r="A19" s="365"/>
      <c r="B19" s="1995"/>
      <c r="C19" s="1240"/>
      <c r="D19" s="1240"/>
      <c r="E19" s="1240"/>
      <c r="F19" s="1240"/>
      <c r="G19" s="1240"/>
      <c r="H19" s="1240"/>
      <c r="I19" s="1240"/>
      <c r="J19" s="1240"/>
      <c r="K19" s="1240"/>
      <c r="L19" s="1240"/>
      <c r="M19" s="1240"/>
      <c r="N19" s="1240"/>
      <c r="O19" s="1240"/>
      <c r="P19" s="1240"/>
      <c r="Q19" s="1240"/>
      <c r="R19" s="1240"/>
      <c r="S19" s="1240"/>
      <c r="T19" s="1240"/>
      <c r="U19" s="1240"/>
      <c r="V19" s="1240"/>
      <c r="W19" s="1240"/>
      <c r="X19" s="1240"/>
      <c r="Y19" s="1240"/>
      <c r="Z19" s="1240"/>
      <c r="AA19" s="1240"/>
      <c r="AB19" s="1240"/>
      <c r="AC19" s="1240"/>
      <c r="AD19" s="1240"/>
      <c r="AE19" s="368"/>
    </row>
    <row r="20" spans="1:31" ht="18" customHeight="1">
      <c r="A20" s="365"/>
      <c r="B20" s="1995" t="s">
        <v>2421</v>
      </c>
      <c r="C20" s="1240"/>
      <c r="D20" s="1240"/>
      <c r="E20" s="1240"/>
      <c r="F20" s="1736"/>
      <c r="G20" s="2011">
        <f>+'DAP1'!F24</f>
        <v>2025</v>
      </c>
      <c r="H20" s="2012"/>
      <c r="I20" s="2012"/>
      <c r="J20" s="2013"/>
      <c r="K20" s="1974"/>
      <c r="L20" s="1240"/>
      <c r="M20" s="1240"/>
      <c r="N20" s="1240"/>
      <c r="O20" s="1240"/>
      <c r="P20" s="1240"/>
      <c r="Q20" s="1240"/>
      <c r="R20" s="1240"/>
      <c r="S20" s="1240"/>
      <c r="T20" s="1240"/>
      <c r="U20" s="1240"/>
      <c r="V20" s="1240"/>
      <c r="W20" s="1240"/>
      <c r="X20" s="1240"/>
      <c r="Y20" s="1240"/>
      <c r="Z20" s="1240"/>
      <c r="AA20" s="1240"/>
      <c r="AB20" s="1240"/>
      <c r="AC20" s="1240"/>
      <c r="AD20" s="1240"/>
      <c r="AE20" s="1736"/>
    </row>
    <row r="21" spans="1:31">
      <c r="A21" s="365"/>
      <c r="B21" s="361"/>
      <c r="C21" s="361"/>
      <c r="D21" s="361"/>
      <c r="E21" s="372">
        <v>1</v>
      </c>
      <c r="F21" s="361"/>
      <c r="G21" s="372">
        <v>2</v>
      </c>
      <c r="H21" s="361"/>
      <c r="I21" s="372">
        <v>3</v>
      </c>
      <c r="J21" s="361"/>
      <c r="K21" s="372">
        <v>4</v>
      </c>
      <c r="L21" s="361"/>
      <c r="M21" s="372">
        <v>5</v>
      </c>
      <c r="N21" s="361"/>
      <c r="O21" s="372">
        <v>6</v>
      </c>
      <c r="P21" s="361"/>
      <c r="Q21" s="372">
        <v>7</v>
      </c>
      <c r="R21" s="361"/>
      <c r="S21" s="372">
        <v>8</v>
      </c>
      <c r="T21" s="361"/>
      <c r="U21" s="372">
        <v>9</v>
      </c>
      <c r="V21" s="361"/>
      <c r="W21" s="372">
        <v>10</v>
      </c>
      <c r="X21" s="361"/>
      <c r="Y21" s="372">
        <v>11</v>
      </c>
      <c r="Z21" s="361"/>
      <c r="AA21" s="372">
        <v>12</v>
      </c>
      <c r="AB21" s="1984" t="s">
        <v>2418</v>
      </c>
      <c r="AC21" s="1985"/>
      <c r="AD21" s="1985"/>
      <c r="AE21" s="368"/>
    </row>
    <row r="22" spans="1:31" ht="18" customHeight="1">
      <c r="A22" s="365"/>
      <c r="B22" s="373" t="s">
        <v>2417</v>
      </c>
      <c r="C22" s="361"/>
      <c r="D22" s="361"/>
      <c r="E22" s="374"/>
      <c r="F22" s="361"/>
      <c r="G22" s="374"/>
      <c r="H22" s="361"/>
      <c r="I22" s="374"/>
      <c r="J22" s="361"/>
      <c r="K22" s="374"/>
      <c r="L22" s="361"/>
      <c r="M22" s="374"/>
      <c r="N22" s="361"/>
      <c r="O22" s="374"/>
      <c r="P22" s="361"/>
      <c r="Q22" s="374"/>
      <c r="R22" s="361"/>
      <c r="S22" s="374"/>
      <c r="T22" s="361"/>
      <c r="U22" s="374"/>
      <c r="V22" s="361"/>
      <c r="W22" s="374"/>
      <c r="X22" s="361"/>
      <c r="Y22" s="374"/>
      <c r="Z22" s="361"/>
      <c r="AA22" s="374"/>
      <c r="AB22" s="361"/>
      <c r="AC22" s="374"/>
      <c r="AD22" s="361"/>
      <c r="AE22" s="368"/>
    </row>
    <row r="23" spans="1:31" ht="5.0999999999999996" customHeight="1">
      <c r="A23" s="369"/>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1"/>
    </row>
    <row r="24" spans="1:31" ht="18" customHeight="1">
      <c r="A24" s="1981" t="s">
        <v>2422</v>
      </c>
      <c r="B24" s="1982"/>
      <c r="C24" s="1982"/>
      <c r="D24" s="1982"/>
      <c r="E24" s="1982"/>
      <c r="F24" s="1982"/>
      <c r="G24" s="1982"/>
      <c r="H24" s="1982"/>
      <c r="I24" s="1982"/>
      <c r="J24" s="1982"/>
      <c r="K24" s="1982"/>
      <c r="L24" s="1982"/>
      <c r="M24" s="1982"/>
      <c r="N24" s="1982"/>
      <c r="O24" s="1982"/>
      <c r="P24" s="1982"/>
      <c r="Q24" s="1982"/>
      <c r="R24" s="1982"/>
      <c r="S24" s="1982"/>
      <c r="T24" s="1982"/>
      <c r="U24" s="1982"/>
      <c r="V24" s="1982"/>
      <c r="W24" s="1982"/>
      <c r="X24" s="1982"/>
      <c r="Y24" s="1982"/>
      <c r="Z24" s="1982"/>
      <c r="AA24" s="1982"/>
      <c r="AB24" s="1982"/>
      <c r="AC24" s="1982"/>
      <c r="AD24" s="1982"/>
      <c r="AE24" s="1983"/>
    </row>
    <row r="25" spans="1:31" ht="60" customHeight="1">
      <c r="A25" s="2010"/>
      <c r="B25" s="1240"/>
      <c r="C25" s="1240"/>
      <c r="D25" s="1240"/>
      <c r="E25" s="1240"/>
      <c r="F25" s="1240"/>
      <c r="G25" s="1240"/>
      <c r="H25" s="1240"/>
      <c r="I25" s="1240"/>
      <c r="J25" s="1240"/>
      <c r="K25" s="1240"/>
      <c r="L25" s="1240"/>
      <c r="M25" s="1240"/>
      <c r="N25" s="1240"/>
      <c r="O25" s="1240"/>
      <c r="P25" s="1240"/>
      <c r="Q25" s="1240"/>
      <c r="R25" s="1240"/>
      <c r="S25" s="1240"/>
      <c r="T25" s="2005"/>
      <c r="U25" s="2006"/>
      <c r="V25" s="2006"/>
      <c r="W25" s="2006"/>
      <c r="X25" s="2006"/>
      <c r="Y25" s="2006"/>
      <c r="Z25" s="2006"/>
      <c r="AA25" s="2006"/>
      <c r="AB25" s="2006"/>
      <c r="AC25" s="2006"/>
      <c r="AD25" s="2006"/>
      <c r="AE25" s="368"/>
    </row>
    <row r="26" spans="1:31" ht="18" customHeight="1">
      <c r="A26" s="365"/>
      <c r="B26" s="373" t="s">
        <v>319</v>
      </c>
      <c r="C26" s="2003">
        <f ca="1">+TODAY()</f>
        <v>46094</v>
      </c>
      <c r="D26" s="2004"/>
      <c r="E26" s="2004"/>
      <c r="F26" s="2004"/>
      <c r="G26" s="1700"/>
      <c r="H26" s="1240"/>
      <c r="I26" s="1240"/>
      <c r="J26" s="1240"/>
      <c r="K26" s="1240"/>
      <c r="L26" s="1240"/>
      <c r="M26" s="1240"/>
      <c r="N26" s="1240"/>
      <c r="O26" s="1240"/>
      <c r="P26" s="1240"/>
      <c r="Q26" s="1240"/>
      <c r="R26" s="1240"/>
      <c r="S26" s="1240"/>
      <c r="T26" s="2007"/>
      <c r="U26" s="2007"/>
      <c r="V26" s="2007"/>
      <c r="W26" s="2007"/>
      <c r="X26" s="2007"/>
      <c r="Y26" s="2007"/>
      <c r="Z26" s="2007"/>
      <c r="AA26" s="2007"/>
      <c r="AB26" s="2007"/>
      <c r="AC26" s="2007"/>
      <c r="AD26" s="2007"/>
      <c r="AE26" s="368"/>
    </row>
    <row r="27" spans="1:31">
      <c r="A27" s="365"/>
      <c r="B27" s="361"/>
      <c r="C27" s="361"/>
      <c r="D27" s="361"/>
      <c r="E27" s="361"/>
      <c r="F27" s="361"/>
      <c r="G27" s="361"/>
      <c r="H27" s="361"/>
      <c r="I27" s="361"/>
      <c r="J27" s="361"/>
      <c r="K27" s="361"/>
      <c r="L27" s="361"/>
      <c r="M27" s="361"/>
      <c r="N27" s="361"/>
      <c r="O27" s="361"/>
      <c r="P27" s="361"/>
      <c r="Q27" s="361"/>
      <c r="R27" s="361"/>
      <c r="S27" s="361"/>
      <c r="T27" s="2008" t="s">
        <v>320</v>
      </c>
      <c r="U27" s="2009"/>
      <c r="V27" s="2009"/>
      <c r="W27" s="2009"/>
      <c r="X27" s="2009"/>
      <c r="Y27" s="2009"/>
      <c r="Z27" s="2009"/>
      <c r="AA27" s="2009"/>
      <c r="AB27" s="2009"/>
      <c r="AC27" s="2009"/>
      <c r="AD27" s="2009"/>
      <c r="AE27" s="368"/>
    </row>
    <row r="28" spans="1:31" ht="5.0999999999999996" customHeight="1">
      <c r="A28" s="369"/>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1"/>
    </row>
    <row r="29" spans="1:31" ht="28.5" customHeight="1">
      <c r="A29" s="375"/>
      <c r="B29" s="1997" t="s">
        <v>2423</v>
      </c>
      <c r="C29" s="1998"/>
      <c r="D29" s="1998"/>
      <c r="E29" s="1998"/>
      <c r="F29" s="1998"/>
      <c r="G29" s="1998"/>
      <c r="H29" s="1998"/>
      <c r="I29" s="1998"/>
      <c r="J29" s="1998"/>
      <c r="K29" s="1998"/>
      <c r="L29" s="1998"/>
      <c r="M29" s="1998"/>
      <c r="N29" s="1998"/>
      <c r="O29" s="1998"/>
      <c r="P29" s="1998"/>
      <c r="Q29" s="1998"/>
      <c r="R29" s="1998"/>
      <c r="S29" s="1998"/>
      <c r="T29" s="1998"/>
      <c r="U29" s="1998"/>
      <c r="V29" s="1998"/>
      <c r="W29" s="1998"/>
      <c r="X29" s="1998"/>
      <c r="Y29" s="1998"/>
      <c r="Z29" s="1998"/>
      <c r="AA29" s="1998"/>
      <c r="AB29" s="1998"/>
      <c r="AC29" s="1998"/>
      <c r="AD29" s="1998"/>
      <c r="AE29" s="376"/>
    </row>
    <row r="30" spans="1:31">
      <c r="A30" s="1999"/>
      <c r="B30" s="1764"/>
      <c r="C30" s="1764"/>
      <c r="D30" s="1764"/>
      <c r="E30" s="1764"/>
      <c r="F30" s="1764"/>
      <c r="G30" s="1764"/>
      <c r="H30" s="1764"/>
      <c r="I30" s="1764"/>
      <c r="J30" s="1764"/>
      <c r="K30" s="1764"/>
      <c r="L30" s="1764"/>
      <c r="M30" s="1764"/>
      <c r="N30" s="1764"/>
      <c r="O30" s="1764"/>
      <c r="P30" s="1764"/>
      <c r="Q30" s="1764"/>
      <c r="R30" s="1764"/>
      <c r="S30" s="1764"/>
      <c r="T30" s="1764"/>
      <c r="U30" s="1764"/>
      <c r="V30" s="1764"/>
      <c r="W30" s="1764"/>
      <c r="X30" s="1764"/>
      <c r="Y30" s="1764"/>
      <c r="Z30" s="1764"/>
      <c r="AA30" s="2000" t="s">
        <v>2424</v>
      </c>
      <c r="AB30" s="2001"/>
      <c r="AC30" s="2001"/>
      <c r="AD30" s="2001"/>
      <c r="AE30" s="2002"/>
    </row>
    <row r="31" spans="1:31" s="377" customFormat="1">
      <c r="A31" s="379"/>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row>
    <row r="32" spans="1:31" s="377" customFormat="1">
      <c r="A32" s="379"/>
      <c r="B32" s="379"/>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row>
    <row r="33" spans="1:31" s="377" customFormat="1">
      <c r="A33" s="379"/>
      <c r="B33" s="379"/>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row>
    <row r="34" spans="1:31" s="377" customFormat="1">
      <c r="A34" s="379"/>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row>
    <row r="35" spans="1:31" s="377" customFormat="1">
      <c r="A35" s="379"/>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row>
    <row r="36" spans="1:31" s="377" customFormat="1">
      <c r="A36" s="379"/>
      <c r="B36" s="379"/>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row>
    <row r="37" spans="1:31" s="377" customFormat="1">
      <c r="A37" s="379"/>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row>
    <row r="38" spans="1:31" s="377" customFormat="1">
      <c r="A38" s="379"/>
      <c r="B38" s="379"/>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row>
    <row r="39" spans="1:31" s="377" customFormat="1">
      <c r="A39" s="379"/>
      <c r="B39" s="379"/>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row>
    <row r="40" spans="1:31" s="377" customFormat="1">
      <c r="A40" s="379"/>
      <c r="B40" s="379"/>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row>
    <row r="41" spans="1:31" s="377" customFormat="1">
      <c r="A41" s="379"/>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row>
    <row r="42" spans="1:31" s="377" customFormat="1">
      <c r="A42" s="379"/>
      <c r="B42" s="379"/>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row>
    <row r="43" spans="1:31" s="377" customFormat="1">
      <c r="A43" s="379"/>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row>
    <row r="44" spans="1:31" s="377" customFormat="1">
      <c r="A44" s="379"/>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row>
    <row r="45" spans="1:31" s="377" customFormat="1">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row>
    <row r="46" spans="1:31" s="377" customFormat="1">
      <c r="A46" s="379"/>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row>
    <row r="47" spans="1:31" s="377" customFormat="1"/>
    <row r="48" spans="1:31" s="377" customFormat="1"/>
    <row r="49" s="377" customFormat="1"/>
    <row r="50" s="377" customFormat="1"/>
    <row r="51" s="377" customFormat="1"/>
    <row r="52" s="377" customFormat="1"/>
    <row r="53" s="377" customFormat="1"/>
    <row r="54" s="377" customFormat="1"/>
    <row r="55" s="377" customFormat="1"/>
    <row r="56" s="377" customFormat="1"/>
    <row r="57" s="377" customFormat="1"/>
    <row r="58" s="377" customFormat="1"/>
    <row r="59" s="377" customFormat="1"/>
    <row r="60" s="377" customFormat="1"/>
    <row r="61" s="377" customFormat="1"/>
    <row r="62" s="377" customFormat="1"/>
    <row r="63" s="377" customFormat="1"/>
    <row r="64" s="377" customFormat="1"/>
    <row r="65" s="377" customFormat="1"/>
    <row r="66" s="377" customFormat="1"/>
    <row r="67" s="377" customFormat="1"/>
    <row r="68" s="377" customFormat="1"/>
    <row r="69" s="377" customFormat="1"/>
    <row r="70" s="377" customFormat="1"/>
    <row r="71" s="377" customFormat="1"/>
    <row r="72" s="377" customFormat="1"/>
    <row r="73" s="377" customFormat="1"/>
    <row r="74" s="377" customFormat="1"/>
    <row r="75" s="377" customFormat="1"/>
    <row r="76" s="377" customFormat="1"/>
    <row r="77" s="377" customFormat="1"/>
    <row r="78" s="377" customFormat="1"/>
    <row r="79" s="377" customFormat="1"/>
    <row r="80" s="377" customFormat="1"/>
    <row r="81" s="377" customFormat="1"/>
    <row r="82" s="377" customFormat="1"/>
    <row r="83" s="377" customFormat="1"/>
    <row r="84" s="377" customFormat="1"/>
    <row r="85" s="377" customFormat="1"/>
    <row r="86" s="377" customFormat="1"/>
    <row r="87" s="377" customFormat="1"/>
    <row r="88" s="377" customFormat="1"/>
    <row r="89" s="377" customFormat="1"/>
    <row r="90" s="377" customFormat="1"/>
    <row r="91" s="377" customFormat="1"/>
    <row r="92" s="377" customFormat="1"/>
    <row r="93" s="377" customFormat="1"/>
    <row r="94" s="377" customFormat="1"/>
    <row r="95" s="377" customFormat="1"/>
    <row r="96" s="377" customFormat="1"/>
    <row r="97" spans="1:31" s="377" customFormat="1"/>
    <row r="98" spans="1:31" s="377" customFormat="1"/>
    <row r="99" spans="1:31" s="377" customFormat="1"/>
    <row r="100" spans="1:31" s="377" customFormat="1"/>
    <row r="101" spans="1:31" s="377" customFormat="1"/>
    <row r="102" spans="1:31">
      <c r="A102" s="364"/>
      <c r="B102" s="364"/>
      <c r="C102" s="364"/>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4"/>
      <c r="Z102" s="364"/>
      <c r="AA102" s="364"/>
      <c r="AB102" s="364"/>
      <c r="AC102" s="364"/>
      <c r="AD102" s="364"/>
      <c r="AE102" s="364"/>
    </row>
  </sheetData>
  <sheetProtection algorithmName="SHA-512" hashValue="q5Eopw2H2jpHNWjkqzt98wh6qxLHldMrMgVa1Wnle2qIF7kBMh4zr9ZR3SzF2WCKpJAjBuWNdE3+qZPbV/9bxA==" saltValue="RZQtp3CKUe9tNipIOd+pbg==" spinCount="100000"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41" right="0.19685039370078741" top="0.39370078740157483" bottom="0.39370078740157483" header="0.31496062992125984" footer="0.31496062992125984"/>
  <pageSetup paperSize="9" scale="7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6">
    <tabColor rgb="FFFFFF99"/>
    <pageSetUpPr fitToPage="1"/>
  </sheetPr>
  <dimension ref="A1:BS101"/>
  <sheetViews>
    <sheetView workbookViewId="0">
      <selection activeCell="R14" sqref="R14"/>
    </sheetView>
  </sheetViews>
  <sheetFormatPr defaultRowHeight="12.75"/>
  <cols>
    <col min="1" max="1" width="3.7109375" customWidth="1"/>
    <col min="2" max="2" width="25.42578125" customWidth="1"/>
    <col min="3" max="3" width="3.28515625" customWidth="1"/>
    <col min="5" max="31" width="3.140625" customWidth="1"/>
    <col min="32" max="71" width="9.140625" style="377"/>
  </cols>
  <sheetData>
    <row r="1" spans="1:71" ht="45.75" customHeight="1">
      <c r="A1" s="1963" t="s">
        <v>2443</v>
      </c>
      <c r="B1" s="1964"/>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row>
    <row r="2" spans="1:71">
      <c r="A2" s="1700"/>
      <c r="B2" s="1240"/>
      <c r="C2" s="1240"/>
      <c r="D2" s="1240"/>
      <c r="E2" s="1240"/>
      <c r="F2" s="1240"/>
      <c r="G2" s="1240"/>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row>
    <row r="3" spans="1:71" ht="18">
      <c r="A3" s="1965" t="s">
        <v>2425</v>
      </c>
      <c r="B3" s="1966"/>
      <c r="C3" s="1966"/>
      <c r="D3" s="1966"/>
      <c r="E3" s="1966"/>
      <c r="F3" s="1966"/>
      <c r="G3" s="1966"/>
      <c r="H3" s="1966"/>
      <c r="I3" s="1966"/>
      <c r="J3" s="1966"/>
      <c r="K3" s="1966"/>
      <c r="L3" s="1966"/>
      <c r="M3" s="1966"/>
      <c r="N3" s="1966"/>
      <c r="O3" s="1966"/>
      <c r="P3" s="1966"/>
      <c r="Q3" s="1966"/>
      <c r="R3" s="1966"/>
      <c r="S3" s="1966"/>
      <c r="T3" s="1966"/>
      <c r="U3" s="1966"/>
      <c r="V3" s="1966"/>
      <c r="W3" s="1966"/>
      <c r="X3" s="1966"/>
      <c r="Y3" s="1966"/>
      <c r="Z3" s="1966"/>
      <c r="AA3" s="1966"/>
      <c r="AB3" s="1966"/>
      <c r="AC3" s="1966"/>
      <c r="AD3" s="1966"/>
      <c r="AE3" s="1966"/>
    </row>
    <row r="4" spans="1:71" s="265" customFormat="1" ht="15">
      <c r="A4" s="2016" t="s">
        <v>2412</v>
      </c>
      <c r="B4" s="2017"/>
      <c r="C4" s="2017"/>
      <c r="D4" s="2017"/>
      <c r="E4" s="2017"/>
      <c r="F4" s="2017"/>
      <c r="G4" s="2017"/>
      <c r="H4" s="2017"/>
      <c r="I4" s="2017"/>
      <c r="J4" s="2017"/>
      <c r="K4" s="2017"/>
      <c r="L4" s="2017"/>
      <c r="M4" s="2017"/>
      <c r="N4" s="2017"/>
      <c r="O4" s="2017"/>
      <c r="P4" s="2017"/>
      <c r="Q4" s="2017"/>
      <c r="R4" s="2017"/>
      <c r="S4" s="2017"/>
      <c r="T4" s="2017"/>
      <c r="U4" s="2017"/>
      <c r="V4" s="2017"/>
      <c r="W4" s="2017"/>
      <c r="X4" s="2017"/>
      <c r="Y4" s="2017"/>
      <c r="Z4" s="2017"/>
      <c r="AA4" s="2017"/>
      <c r="AB4" s="2017"/>
      <c r="AC4" s="2017"/>
      <c r="AD4" s="2017"/>
      <c r="AE4" s="2017"/>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c r="BK4" s="380"/>
      <c r="BL4" s="380"/>
      <c r="BM4" s="380"/>
      <c r="BN4" s="380"/>
      <c r="BO4" s="380"/>
      <c r="BP4" s="380"/>
      <c r="BQ4" s="380"/>
      <c r="BR4" s="380"/>
      <c r="BS4" s="380"/>
    </row>
    <row r="5" spans="1:71">
      <c r="A5" s="1700"/>
      <c r="B5" s="1240"/>
      <c r="C5" s="1240"/>
      <c r="D5" s="1240"/>
      <c r="E5" s="1240"/>
      <c r="F5" s="1240"/>
      <c r="G5" s="1240"/>
      <c r="H5" s="1240"/>
      <c r="I5" s="1240"/>
      <c r="J5" s="1240"/>
      <c r="K5" s="1240"/>
      <c r="L5" s="1240"/>
      <c r="M5" s="1240"/>
      <c r="N5" s="1240"/>
      <c r="O5" s="1240"/>
      <c r="P5" s="1240"/>
      <c r="Q5" s="1240"/>
      <c r="R5" s="1240"/>
      <c r="S5" s="1240"/>
      <c r="T5" s="1240"/>
      <c r="U5" s="1240"/>
      <c r="V5" s="1240"/>
      <c r="W5" s="1240"/>
      <c r="X5" s="1240"/>
      <c r="Y5" s="1240"/>
      <c r="Z5" s="1240"/>
      <c r="AA5" s="1240"/>
      <c r="AB5" s="1240"/>
      <c r="AC5" s="1240"/>
      <c r="AD5" s="1240"/>
      <c r="AE5" s="1240"/>
    </row>
    <row r="6" spans="1:71" ht="27" customHeight="1">
      <c r="A6" s="1969" t="s">
        <v>2413</v>
      </c>
      <c r="B6" s="1970"/>
      <c r="C6" s="364"/>
      <c r="D6" s="1976" t="s">
        <v>2414</v>
      </c>
      <c r="E6" s="1977"/>
      <c r="F6" s="1977"/>
      <c r="G6" s="1977"/>
      <c r="H6" s="1977"/>
      <c r="I6" s="1977"/>
      <c r="J6" s="1977"/>
      <c r="K6" s="1977"/>
      <c r="L6" s="1977"/>
      <c r="M6" s="1977"/>
      <c r="N6" s="1977"/>
      <c r="O6" s="1977"/>
      <c r="P6" s="1977"/>
      <c r="Q6" s="364"/>
      <c r="R6" s="1979" t="s">
        <v>2415</v>
      </c>
      <c r="S6" s="1980"/>
      <c r="T6" s="1980"/>
      <c r="U6" s="1980"/>
      <c r="V6" s="1980"/>
      <c r="W6" s="1980"/>
      <c r="X6" s="1980"/>
      <c r="Y6" s="1980"/>
      <c r="Z6" s="1980"/>
      <c r="AA6" s="1980"/>
      <c r="AB6" s="1980"/>
      <c r="AC6" s="1980"/>
      <c r="AD6" s="1980"/>
      <c r="AE6" s="1980"/>
    </row>
    <row r="7" spans="1:71" ht="18" customHeight="1">
      <c r="A7" s="1971" t="str">
        <f>+'SP1'!$A$6:$F$6</f>
        <v/>
      </c>
      <c r="B7" s="1972"/>
      <c r="C7" s="361"/>
      <c r="D7" s="1973"/>
      <c r="E7" s="1649"/>
      <c r="F7" s="1649"/>
      <c r="G7" s="1649"/>
      <c r="H7" s="1649"/>
      <c r="I7" s="1649"/>
      <c r="J7" s="1649"/>
      <c r="K7" s="1649"/>
      <c r="L7" s="1649"/>
      <c r="M7" s="1649"/>
      <c r="N7" s="1649"/>
      <c r="O7" s="1649"/>
      <c r="P7" s="1770"/>
      <c r="Q7" s="361"/>
      <c r="R7" s="1978" t="str">
        <f>+'SP1'!$U$6</f>
        <v/>
      </c>
      <c r="S7" s="1749"/>
      <c r="T7" s="1749"/>
      <c r="U7" s="1749"/>
      <c r="V7" s="1749"/>
      <c r="W7" s="1749"/>
      <c r="X7" s="1749"/>
      <c r="Y7" s="1749"/>
      <c r="Z7" s="1749"/>
      <c r="AA7" s="1749"/>
      <c r="AB7" s="1749"/>
      <c r="AC7" s="1749"/>
      <c r="AD7" s="1749"/>
      <c r="AE7" s="991"/>
    </row>
    <row r="8" spans="1:71" ht="15" customHeight="1">
      <c r="A8" s="361"/>
      <c r="B8" s="361"/>
      <c r="C8" s="361"/>
      <c r="D8" s="1974"/>
      <c r="E8" s="1240"/>
      <c r="F8" s="1240"/>
      <c r="G8" s="1240"/>
      <c r="H8" s="1240"/>
      <c r="I8" s="1240"/>
      <c r="J8" s="1240"/>
      <c r="K8" s="1240"/>
      <c r="L8" s="1240"/>
      <c r="M8" s="1240"/>
      <c r="N8" s="1240"/>
      <c r="O8" s="1240"/>
      <c r="P8" s="1736"/>
      <c r="Q8" s="361"/>
      <c r="R8" s="361"/>
      <c r="S8" s="361"/>
      <c r="T8" s="361"/>
      <c r="U8" s="361"/>
      <c r="V8" s="361"/>
      <c r="W8" s="361"/>
      <c r="X8" s="361"/>
      <c r="Y8" s="361"/>
      <c r="Z8" s="361"/>
      <c r="AA8" s="361"/>
      <c r="AB8" s="361"/>
      <c r="AC8" s="361"/>
      <c r="AD8" s="361"/>
      <c r="AE8" s="361"/>
    </row>
    <row r="9" spans="1:71" ht="15" customHeight="1">
      <c r="A9" s="361"/>
      <c r="B9" s="361"/>
      <c r="C9" s="361"/>
      <c r="D9" s="1975"/>
      <c r="E9" s="1764"/>
      <c r="F9" s="1764"/>
      <c r="G9" s="1764"/>
      <c r="H9" s="1764"/>
      <c r="I9" s="1764"/>
      <c r="J9" s="1764"/>
      <c r="K9" s="1764"/>
      <c r="L9" s="1764"/>
      <c r="M9" s="1764"/>
      <c r="N9" s="1764"/>
      <c r="O9" s="1764"/>
      <c r="P9" s="1765"/>
      <c r="Q9" s="361"/>
      <c r="R9" s="361"/>
      <c r="S9" s="361"/>
      <c r="T9" s="361"/>
      <c r="U9" s="361"/>
      <c r="V9" s="361"/>
      <c r="W9" s="361"/>
      <c r="X9" s="361"/>
      <c r="Y9" s="361"/>
      <c r="Z9" s="361"/>
      <c r="AA9" s="361"/>
      <c r="AB9" s="361"/>
      <c r="AC9" s="361"/>
      <c r="AD9" s="361"/>
      <c r="AE9" s="361"/>
    </row>
    <row r="10" spans="1:71">
      <c r="A10" s="1700"/>
      <c r="B10" s="1240"/>
      <c r="C10" s="1240"/>
      <c r="D10" s="1240"/>
      <c r="E10" s="1240"/>
      <c r="F10" s="1240"/>
      <c r="G10" s="1240"/>
      <c r="H10" s="1240"/>
      <c r="I10" s="1240"/>
      <c r="J10" s="1240"/>
      <c r="K10" s="1240"/>
      <c r="L10" s="1240"/>
      <c r="M10" s="1240"/>
      <c r="N10" s="1240"/>
      <c r="O10" s="1240"/>
      <c r="P10" s="1240"/>
      <c r="Q10" s="1240"/>
      <c r="R10" s="1240"/>
      <c r="S10" s="1240"/>
      <c r="T10" s="1240"/>
      <c r="U10" s="1240"/>
      <c r="V10" s="1240"/>
      <c r="W10" s="1240"/>
      <c r="X10" s="1240"/>
      <c r="Y10" s="1240"/>
      <c r="Z10" s="1240"/>
      <c r="AA10" s="1240"/>
      <c r="AB10" s="1240"/>
      <c r="AC10" s="1240"/>
      <c r="AD10" s="1240"/>
      <c r="AE10" s="1240"/>
    </row>
    <row r="11" spans="1:71" s="310" customFormat="1" ht="18" customHeight="1">
      <c r="A11" s="1981" t="s">
        <v>2416</v>
      </c>
      <c r="B11" s="1982"/>
      <c r="C11" s="1982"/>
      <c r="D11" s="1982"/>
      <c r="E11" s="1982"/>
      <c r="F11" s="1982"/>
      <c r="G11" s="1982"/>
      <c r="H11" s="1982"/>
      <c r="I11" s="1982"/>
      <c r="J11" s="1982"/>
      <c r="K11" s="1982"/>
      <c r="L11" s="1982"/>
      <c r="M11" s="1982"/>
      <c r="N11" s="1982"/>
      <c r="O11" s="1982"/>
      <c r="P11" s="1982"/>
      <c r="Q11" s="1982"/>
      <c r="R11" s="1982"/>
      <c r="S11" s="1982"/>
      <c r="T11" s="1982"/>
      <c r="U11" s="1982"/>
      <c r="V11" s="1982"/>
      <c r="W11" s="1982"/>
      <c r="X11" s="1982"/>
      <c r="Y11" s="1982"/>
      <c r="Z11" s="1982"/>
      <c r="AA11" s="1982"/>
      <c r="AB11" s="1982"/>
      <c r="AC11" s="1982"/>
      <c r="AD11" s="1982"/>
      <c r="AE11" s="1983"/>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8"/>
      <c r="BL11" s="378"/>
      <c r="BM11" s="378"/>
      <c r="BN11" s="378"/>
      <c r="BO11" s="378"/>
      <c r="BP11" s="378"/>
      <c r="BQ11" s="378"/>
      <c r="BR11" s="378"/>
      <c r="BS11" s="378"/>
    </row>
    <row r="12" spans="1:71">
      <c r="A12" s="365"/>
      <c r="B12" s="366" t="s">
        <v>88</v>
      </c>
      <c r="C12" s="366"/>
      <c r="D12" s="1988" t="s">
        <v>87</v>
      </c>
      <c r="E12" s="1989"/>
      <c r="F12" s="1989"/>
      <c r="G12" s="1989"/>
      <c r="H12" s="1989"/>
      <c r="I12" s="1989"/>
      <c r="J12" s="366"/>
      <c r="K12" s="1988" t="s">
        <v>106</v>
      </c>
      <c r="L12" s="1989"/>
      <c r="M12" s="1989"/>
      <c r="N12" s="1989"/>
      <c r="O12" s="1989"/>
      <c r="P12" s="1989"/>
      <c r="Q12" s="366"/>
      <c r="R12" s="1988" t="s">
        <v>250</v>
      </c>
      <c r="S12" s="1989"/>
      <c r="T12" s="1989"/>
      <c r="U12" s="1989"/>
      <c r="V12" s="1989"/>
      <c r="W12" s="1989"/>
      <c r="X12" s="366"/>
      <c r="Y12" s="1988" t="s">
        <v>136</v>
      </c>
      <c r="Z12" s="1989"/>
      <c r="AA12" s="1989"/>
      <c r="AB12" s="1989"/>
      <c r="AC12" s="1989"/>
      <c r="AD12" s="1989"/>
      <c r="AE12" s="367"/>
    </row>
    <row r="13" spans="1:71" ht="18" customHeight="1">
      <c r="A13" s="365"/>
      <c r="B13" s="520" t="str">
        <f>+CONCATENATE('SP1'!$A$10)</f>
        <v>0</v>
      </c>
      <c r="C13" s="361"/>
      <c r="D13" s="1986" t="str">
        <f>+CONCATENATE('SP1'!$H$10)</f>
        <v>0</v>
      </c>
      <c r="E13" s="1731"/>
      <c r="F13" s="1731"/>
      <c r="G13" s="1731"/>
      <c r="H13" s="1731"/>
      <c r="I13" s="1987"/>
      <c r="J13" s="361"/>
      <c r="K13" s="1990" t="str">
        <f>+CONCATENATE('SP1'!$Q$10)</f>
        <v/>
      </c>
      <c r="L13" s="1808"/>
      <c r="M13" s="1808"/>
      <c r="N13" s="1808"/>
      <c r="O13" s="1808"/>
      <c r="P13" s="1991"/>
      <c r="Q13" s="361"/>
      <c r="R13" s="1992">
        <f>+'SP1'!$A$12</f>
        <v>0</v>
      </c>
      <c r="S13" s="1128"/>
      <c r="T13" s="1128"/>
      <c r="U13" s="1128"/>
      <c r="V13" s="1128"/>
      <c r="W13" s="1993"/>
      <c r="X13" s="361"/>
      <c r="Y13" s="1994" t="str">
        <f>+'SP1'!$Y$10</f>
        <v/>
      </c>
      <c r="Z13" s="1749"/>
      <c r="AA13" s="1749"/>
      <c r="AB13" s="1749"/>
      <c r="AC13" s="1749"/>
      <c r="AD13" s="991"/>
      <c r="AE13" s="368"/>
    </row>
    <row r="14" spans="1:71" ht="5.0999999999999996" customHeight="1">
      <c r="A14" s="369"/>
      <c r="B14" s="370"/>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1"/>
    </row>
    <row r="15" spans="1:71" ht="18" customHeight="1">
      <c r="A15" s="1981" t="s">
        <v>2426</v>
      </c>
      <c r="B15" s="1982"/>
      <c r="C15" s="1982"/>
      <c r="D15" s="1982"/>
      <c r="E15" s="1982"/>
      <c r="F15" s="1982"/>
      <c r="G15" s="1982"/>
      <c r="H15" s="1982"/>
      <c r="I15" s="1982"/>
      <c r="J15" s="1982"/>
      <c r="K15" s="1982"/>
      <c r="L15" s="1982"/>
      <c r="M15" s="1982"/>
      <c r="N15" s="1982"/>
      <c r="O15" s="1982"/>
      <c r="P15" s="1982"/>
      <c r="Q15" s="1982"/>
      <c r="R15" s="1982"/>
      <c r="S15" s="1982"/>
      <c r="T15" s="1982"/>
      <c r="U15" s="1982"/>
      <c r="V15" s="1982"/>
      <c r="W15" s="1982"/>
      <c r="X15" s="1982"/>
      <c r="Y15" s="1982"/>
      <c r="Z15" s="1982"/>
      <c r="AA15" s="1982"/>
      <c r="AB15" s="1982"/>
      <c r="AC15" s="1982"/>
      <c r="AD15" s="1982"/>
      <c r="AE15" s="1983"/>
    </row>
    <row r="16" spans="1:71" s="377" customFormat="1">
      <c r="A16" s="365"/>
      <c r="B16" s="1995" t="s">
        <v>2427</v>
      </c>
      <c r="C16" s="1240"/>
      <c r="D16" s="1240"/>
      <c r="E16" s="1240"/>
      <c r="F16" s="1240"/>
      <c r="G16" s="1240"/>
      <c r="H16" s="1240"/>
      <c r="I16" s="1240"/>
      <c r="J16" s="1240"/>
      <c r="K16" s="1240"/>
      <c r="L16" s="1240"/>
      <c r="M16" s="1240"/>
      <c r="N16" s="1240"/>
      <c r="O16" s="1240"/>
      <c r="P16" s="1240"/>
      <c r="Q16" s="1240"/>
      <c r="R16" s="1240"/>
      <c r="S16" s="1240"/>
      <c r="T16" s="1240"/>
      <c r="U16" s="1240"/>
      <c r="V16" s="1240"/>
      <c r="W16" s="1240"/>
      <c r="X16" s="1240"/>
      <c r="Y16" s="1240"/>
      <c r="Z16" s="1240"/>
      <c r="AA16" s="1240"/>
      <c r="AB16" s="1240"/>
      <c r="AC16" s="1240"/>
      <c r="AD16" s="1240"/>
      <c r="AE16" s="368"/>
    </row>
    <row r="17" spans="1:31" s="377" customFormat="1" ht="18" customHeight="1">
      <c r="A17" s="365"/>
      <c r="B17" s="1996"/>
      <c r="C17" s="1808"/>
      <c r="D17" s="1808"/>
      <c r="E17" s="1808"/>
      <c r="F17" s="1808"/>
      <c r="G17" s="1808"/>
      <c r="H17" s="1808"/>
      <c r="I17" s="1808"/>
      <c r="J17" s="1808"/>
      <c r="K17" s="1808"/>
      <c r="L17" s="1808"/>
      <c r="M17" s="1808"/>
      <c r="N17" s="1808"/>
      <c r="O17" s="1808"/>
      <c r="P17" s="1808"/>
      <c r="Q17" s="1808"/>
      <c r="R17" s="1808"/>
      <c r="S17" s="1808"/>
      <c r="T17" s="1808"/>
      <c r="U17" s="1808"/>
      <c r="V17" s="1808"/>
      <c r="W17" s="1808"/>
      <c r="X17" s="1808"/>
      <c r="Y17" s="1808"/>
      <c r="Z17" s="1808"/>
      <c r="AA17" s="1808"/>
      <c r="AB17" s="1808"/>
      <c r="AC17" s="1808"/>
      <c r="AD17" s="1991"/>
      <c r="AE17" s="368"/>
    </row>
    <row r="18" spans="1:31" s="377" customFormat="1" ht="5.0999999999999996" customHeight="1">
      <c r="A18" s="365"/>
      <c r="B18" s="1995"/>
      <c r="C18" s="1240"/>
      <c r="D18" s="1240"/>
      <c r="E18" s="1240"/>
      <c r="F18" s="1240"/>
      <c r="G18" s="1240"/>
      <c r="H18" s="1240"/>
      <c r="I18" s="1240"/>
      <c r="J18" s="1240"/>
      <c r="K18" s="1240"/>
      <c r="L18" s="1240"/>
      <c r="M18" s="1240"/>
      <c r="N18" s="1240"/>
      <c r="O18" s="1240"/>
      <c r="P18" s="1240"/>
      <c r="Q18" s="1240"/>
      <c r="R18" s="1240"/>
      <c r="S18" s="1240"/>
      <c r="T18" s="1240"/>
      <c r="U18" s="1240"/>
      <c r="V18" s="1240"/>
      <c r="W18" s="1240"/>
      <c r="X18" s="1240"/>
      <c r="Y18" s="1240"/>
      <c r="Z18" s="1240"/>
      <c r="AA18" s="1240"/>
      <c r="AB18" s="1240"/>
      <c r="AC18" s="1240"/>
      <c r="AD18" s="1240"/>
      <c r="AE18" s="368"/>
    </row>
    <row r="19" spans="1:31" s="377" customFormat="1" ht="18" customHeight="1">
      <c r="A19" s="365"/>
      <c r="B19" s="366" t="s">
        <v>2428</v>
      </c>
      <c r="C19" s="102"/>
      <c r="D19" s="2011">
        <f>+'DAP1'!F24</f>
        <v>2025</v>
      </c>
      <c r="E19" s="2013"/>
      <c r="F19" s="2018" t="s">
        <v>2484</v>
      </c>
      <c r="G19" s="1187"/>
      <c r="H19" s="1187"/>
      <c r="I19" s="1187"/>
      <c r="J19" s="1187"/>
      <c r="K19" s="1187"/>
      <c r="L19" s="1240"/>
      <c r="M19" s="1736"/>
      <c r="N19" s="2014"/>
      <c r="O19" s="2015"/>
      <c r="P19" s="1731"/>
      <c r="Q19" s="1987"/>
      <c r="R19" s="2019" t="s">
        <v>2429</v>
      </c>
      <c r="S19" s="1240"/>
      <c r="T19" s="1240"/>
      <c r="U19" s="1240"/>
      <c r="V19" s="1240"/>
      <c r="W19" s="1240"/>
      <c r="X19" s="1240"/>
      <c r="Y19" s="1240"/>
      <c r="Z19" s="1240"/>
      <c r="AA19" s="1240"/>
      <c r="AB19" s="1240"/>
      <c r="AC19" s="1240"/>
      <c r="AD19" s="1240"/>
      <c r="AE19" s="1736"/>
    </row>
    <row r="20" spans="1:31" s="377" customFormat="1" ht="5.0999999999999996" customHeight="1">
      <c r="A20" s="365"/>
      <c r="B20" s="1995"/>
      <c r="C20" s="1240"/>
      <c r="D20" s="1240"/>
      <c r="E20" s="1240"/>
      <c r="F20" s="1240"/>
      <c r="G20" s="1240"/>
      <c r="H20" s="1240"/>
      <c r="I20" s="1240"/>
      <c r="J20" s="1240"/>
      <c r="K20" s="1240"/>
      <c r="L20" s="1240"/>
      <c r="M20" s="1240"/>
      <c r="N20" s="1240"/>
      <c r="O20" s="1240"/>
      <c r="P20" s="1240"/>
      <c r="Q20" s="1240"/>
      <c r="R20" s="1240"/>
      <c r="S20" s="1240"/>
      <c r="T20" s="1240"/>
      <c r="U20" s="1240"/>
      <c r="V20" s="1240"/>
      <c r="W20" s="1240"/>
      <c r="X20" s="1240"/>
      <c r="Y20" s="1240"/>
      <c r="Z20" s="1240"/>
      <c r="AA20" s="1240"/>
      <c r="AB20" s="1240"/>
      <c r="AC20" s="1240"/>
      <c r="AD20" s="1240"/>
      <c r="AE20" s="1736"/>
    </row>
    <row r="21" spans="1:31" s="377" customFormat="1" ht="18" customHeight="1">
      <c r="A21" s="365"/>
      <c r="B21" s="1995"/>
      <c r="C21" s="1240"/>
      <c r="D21" s="1240"/>
      <c r="E21" s="1240"/>
      <c r="F21" s="1187" t="s">
        <v>2485</v>
      </c>
      <c r="G21" s="1187"/>
      <c r="H21" s="1187"/>
      <c r="I21" s="1187"/>
      <c r="J21" s="1187"/>
      <c r="K21" s="1187"/>
      <c r="L21" s="1240"/>
      <c r="M21" s="1736"/>
      <c r="N21" s="2014"/>
      <c r="O21" s="2015"/>
      <c r="P21" s="1731"/>
      <c r="Q21" s="1987"/>
      <c r="R21" s="1187" t="s">
        <v>2486</v>
      </c>
      <c r="S21" s="1187"/>
      <c r="T21" s="1187"/>
      <c r="U21" s="1187"/>
      <c r="V21" s="1187"/>
      <c r="W21" s="1187"/>
      <c r="X21" s="1240"/>
      <c r="Y21" s="1736"/>
      <c r="Z21" s="2014"/>
      <c r="AA21" s="2015"/>
      <c r="AB21" s="1731"/>
      <c r="AC21" s="1987"/>
      <c r="AD21" s="1974"/>
      <c r="AE21" s="1736"/>
    </row>
    <row r="22" spans="1:31" s="377" customFormat="1" ht="4.5" customHeight="1">
      <c r="A22" s="369"/>
      <c r="B22" s="370"/>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1"/>
    </row>
    <row r="23" spans="1:31" s="377" customFormat="1" ht="18" customHeight="1">
      <c r="A23" s="1981" t="s">
        <v>2422</v>
      </c>
      <c r="B23" s="1982"/>
      <c r="C23" s="1982"/>
      <c r="D23" s="1982"/>
      <c r="E23" s="1982"/>
      <c r="F23" s="1982"/>
      <c r="G23" s="1982"/>
      <c r="H23" s="1982"/>
      <c r="I23" s="1982"/>
      <c r="J23" s="1982"/>
      <c r="K23" s="1982"/>
      <c r="L23" s="1982"/>
      <c r="M23" s="1982"/>
      <c r="N23" s="1982"/>
      <c r="O23" s="1982"/>
      <c r="P23" s="1982"/>
      <c r="Q23" s="1982"/>
      <c r="R23" s="1982"/>
      <c r="S23" s="1982"/>
      <c r="T23" s="1982"/>
      <c r="U23" s="1982"/>
      <c r="V23" s="1982"/>
      <c r="W23" s="1982"/>
      <c r="X23" s="1982"/>
      <c r="Y23" s="1982"/>
      <c r="Z23" s="1982"/>
      <c r="AA23" s="1982"/>
      <c r="AB23" s="1982"/>
      <c r="AC23" s="1982"/>
      <c r="AD23" s="1982"/>
      <c r="AE23" s="1983"/>
    </row>
    <row r="24" spans="1:31" s="377" customFormat="1" ht="60" customHeight="1">
      <c r="A24" s="2010"/>
      <c r="B24" s="1240"/>
      <c r="C24" s="1240"/>
      <c r="D24" s="1240"/>
      <c r="E24" s="1240"/>
      <c r="F24" s="1240"/>
      <c r="G24" s="1240"/>
      <c r="H24" s="1240"/>
      <c r="I24" s="1240"/>
      <c r="J24" s="1240"/>
      <c r="K24" s="1240"/>
      <c r="L24" s="1240"/>
      <c r="M24" s="1240"/>
      <c r="N24" s="1240"/>
      <c r="O24" s="1240"/>
      <c r="P24" s="1240"/>
      <c r="Q24" s="1240"/>
      <c r="R24" s="1240"/>
      <c r="S24" s="1240"/>
      <c r="T24" s="2005"/>
      <c r="U24" s="2006"/>
      <c r="V24" s="2006"/>
      <c r="W24" s="2006"/>
      <c r="X24" s="2006"/>
      <c r="Y24" s="2006"/>
      <c r="Z24" s="2006"/>
      <c r="AA24" s="2006"/>
      <c r="AB24" s="2006"/>
      <c r="AC24" s="2006"/>
      <c r="AD24" s="2006"/>
      <c r="AE24" s="368"/>
    </row>
    <row r="25" spans="1:31" s="377" customFormat="1" ht="18" customHeight="1">
      <c r="A25" s="365"/>
      <c r="B25" s="373" t="s">
        <v>319</v>
      </c>
      <c r="C25" s="2003">
        <f ca="1">+TODAY()</f>
        <v>46094</v>
      </c>
      <c r="D25" s="2004"/>
      <c r="E25" s="2004"/>
      <c r="F25" s="2004"/>
      <c r="G25" s="1700"/>
      <c r="H25" s="1240"/>
      <c r="I25" s="1240"/>
      <c r="J25" s="1240"/>
      <c r="K25" s="1240"/>
      <c r="L25" s="1240"/>
      <c r="M25" s="1240"/>
      <c r="N25" s="1240"/>
      <c r="O25" s="1240"/>
      <c r="P25" s="1240"/>
      <c r="Q25" s="1240"/>
      <c r="R25" s="1240"/>
      <c r="S25" s="1240"/>
      <c r="T25" s="2007"/>
      <c r="U25" s="2007"/>
      <c r="V25" s="2007"/>
      <c r="W25" s="2007"/>
      <c r="X25" s="2007"/>
      <c r="Y25" s="2007"/>
      <c r="Z25" s="2007"/>
      <c r="AA25" s="2007"/>
      <c r="AB25" s="2007"/>
      <c r="AC25" s="2007"/>
      <c r="AD25" s="2007"/>
      <c r="AE25" s="368"/>
    </row>
    <row r="26" spans="1:31" s="377" customFormat="1">
      <c r="A26" s="365"/>
      <c r="B26" s="361"/>
      <c r="C26" s="361"/>
      <c r="D26" s="361"/>
      <c r="E26" s="361"/>
      <c r="F26" s="361"/>
      <c r="G26" s="361"/>
      <c r="H26" s="361"/>
      <c r="I26" s="361"/>
      <c r="J26" s="361"/>
      <c r="K26" s="361"/>
      <c r="L26" s="361"/>
      <c r="M26" s="361"/>
      <c r="N26" s="361"/>
      <c r="O26" s="361"/>
      <c r="P26" s="361"/>
      <c r="Q26" s="361"/>
      <c r="R26" s="361"/>
      <c r="S26" s="361"/>
      <c r="T26" s="2008" t="s">
        <v>321</v>
      </c>
      <c r="U26" s="2009"/>
      <c r="V26" s="2009"/>
      <c r="W26" s="2009"/>
      <c r="X26" s="2009"/>
      <c r="Y26" s="2009"/>
      <c r="Z26" s="2009"/>
      <c r="AA26" s="2009"/>
      <c r="AB26" s="2009"/>
      <c r="AC26" s="2009"/>
      <c r="AD26" s="2009"/>
      <c r="AE26" s="368"/>
    </row>
    <row r="27" spans="1:31" s="377" customFormat="1" ht="5.0999999999999996" customHeight="1">
      <c r="A27" s="369"/>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1"/>
    </row>
    <row r="28" spans="1:31" s="377" customFormat="1" ht="28.5" customHeight="1">
      <c r="A28" s="375"/>
      <c r="B28" s="1997" t="s">
        <v>2423</v>
      </c>
      <c r="C28" s="1998"/>
      <c r="D28" s="1998"/>
      <c r="E28" s="1998"/>
      <c r="F28" s="1998"/>
      <c r="G28" s="1998"/>
      <c r="H28" s="1998"/>
      <c r="I28" s="1998"/>
      <c r="J28" s="1998"/>
      <c r="K28" s="1998"/>
      <c r="L28" s="1998"/>
      <c r="M28" s="1998"/>
      <c r="N28" s="1998"/>
      <c r="O28" s="1998"/>
      <c r="P28" s="1998"/>
      <c r="Q28" s="1998"/>
      <c r="R28" s="1998"/>
      <c r="S28" s="1998"/>
      <c r="T28" s="1998"/>
      <c r="U28" s="1998"/>
      <c r="V28" s="1998"/>
      <c r="W28" s="1998"/>
      <c r="X28" s="1998"/>
      <c r="Y28" s="1998"/>
      <c r="Z28" s="1998"/>
      <c r="AA28" s="1998"/>
      <c r="AB28" s="1998"/>
      <c r="AC28" s="1998"/>
      <c r="AD28" s="1998"/>
      <c r="AE28" s="376"/>
    </row>
    <row r="29" spans="1:31" s="377" customFormat="1">
      <c r="A29" s="1999"/>
      <c r="B29" s="1764"/>
      <c r="C29" s="1764"/>
      <c r="D29" s="1764"/>
      <c r="E29" s="1764"/>
      <c r="F29" s="1764"/>
      <c r="G29" s="1764"/>
      <c r="H29" s="1764"/>
      <c r="I29" s="1764"/>
      <c r="J29" s="1764"/>
      <c r="K29" s="1764"/>
      <c r="L29" s="1764"/>
      <c r="M29" s="1764"/>
      <c r="N29" s="1764"/>
      <c r="O29" s="1764"/>
      <c r="P29" s="1764"/>
      <c r="Q29" s="1764"/>
      <c r="R29" s="1764"/>
      <c r="S29" s="1764"/>
      <c r="T29" s="1764"/>
      <c r="U29" s="1764"/>
      <c r="V29" s="1764"/>
      <c r="W29" s="1764"/>
      <c r="X29" s="1764"/>
      <c r="Y29" s="1764"/>
      <c r="Z29" s="1764"/>
      <c r="AA29" s="2000" t="s">
        <v>2430</v>
      </c>
      <c r="AB29" s="2001"/>
      <c r="AC29" s="2001"/>
      <c r="AD29" s="2001"/>
      <c r="AE29" s="2002"/>
    </row>
    <row r="30" spans="1:31" s="377" customFormat="1">
      <c r="A30" s="379"/>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row>
    <row r="31" spans="1:31" s="377" customFormat="1">
      <c r="A31" s="379"/>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row>
    <row r="32" spans="1:31" s="377" customFormat="1">
      <c r="A32" s="379"/>
      <c r="B32" s="379"/>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row>
    <row r="33" spans="1:31" s="377" customFormat="1">
      <c r="A33" s="379"/>
      <c r="B33" s="379"/>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row>
    <row r="34" spans="1:31" s="377" customFormat="1">
      <c r="A34" s="379"/>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row>
    <row r="35" spans="1:31" s="377" customFormat="1">
      <c r="A35" s="379"/>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row>
    <row r="36" spans="1:31" s="377" customFormat="1">
      <c r="A36" s="379"/>
      <c r="B36" s="379"/>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row>
    <row r="37" spans="1:31" s="377" customFormat="1">
      <c r="A37" s="379"/>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row>
    <row r="38" spans="1:31" s="377" customFormat="1">
      <c r="A38" s="379"/>
      <c r="B38" s="379"/>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row>
    <row r="39" spans="1:31" s="377" customFormat="1">
      <c r="A39" s="379"/>
      <c r="B39" s="379"/>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row>
    <row r="40" spans="1:31" s="377" customFormat="1">
      <c r="A40" s="379"/>
      <c r="B40" s="379"/>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row>
    <row r="41" spans="1:31" s="377" customFormat="1">
      <c r="A41" s="379"/>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row>
    <row r="42" spans="1:31" s="377" customFormat="1">
      <c r="A42" s="379"/>
      <c r="B42" s="379"/>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row>
    <row r="43" spans="1:31" s="377" customFormat="1">
      <c r="A43" s="379"/>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row>
    <row r="44" spans="1:31" s="377" customFormat="1">
      <c r="A44" s="379"/>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row>
    <row r="45" spans="1:31" s="377" customFormat="1">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row>
    <row r="46" spans="1:31" s="377" customFormat="1"/>
    <row r="47" spans="1:31" s="377" customFormat="1"/>
    <row r="48" spans="1:31" s="377" customFormat="1"/>
    <row r="49" s="377" customFormat="1"/>
    <row r="50" s="377" customFormat="1"/>
    <row r="51" s="377" customFormat="1"/>
    <row r="52" s="377" customFormat="1"/>
    <row r="53" s="377" customFormat="1"/>
    <row r="54" s="377" customFormat="1"/>
    <row r="55" s="377" customFormat="1"/>
    <row r="56" s="377" customFormat="1"/>
    <row r="57" s="377" customFormat="1"/>
    <row r="58" s="377" customFormat="1"/>
    <row r="59" s="377" customFormat="1"/>
    <row r="60" s="377" customFormat="1"/>
    <row r="61" s="377" customFormat="1"/>
    <row r="62" s="377" customFormat="1"/>
    <row r="63" s="377" customFormat="1"/>
    <row r="64" s="377" customFormat="1"/>
    <row r="65" s="377" customFormat="1"/>
    <row r="66" s="377" customFormat="1"/>
    <row r="67" s="377" customFormat="1"/>
    <row r="68" s="377" customFormat="1"/>
    <row r="69" s="377" customFormat="1"/>
    <row r="70" s="377" customFormat="1"/>
    <row r="71" s="377" customFormat="1"/>
    <row r="72" s="377" customFormat="1"/>
    <row r="73" s="377" customFormat="1"/>
    <row r="74" s="377" customFormat="1"/>
    <row r="75" s="377" customFormat="1"/>
    <row r="76" s="377" customFormat="1"/>
    <row r="77" s="377" customFormat="1"/>
    <row r="78" s="377" customFormat="1"/>
    <row r="79" s="377" customFormat="1"/>
    <row r="80" s="377" customFormat="1"/>
    <row r="81" s="377" customFormat="1"/>
    <row r="82" s="377" customFormat="1"/>
    <row r="83" s="377" customFormat="1"/>
    <row r="84" s="377" customFormat="1"/>
    <row r="85" s="377" customFormat="1"/>
    <row r="86" s="377" customFormat="1"/>
    <row r="87" s="377" customFormat="1"/>
    <row r="88" s="377" customFormat="1"/>
    <row r="89" s="377" customFormat="1"/>
    <row r="90" s="377" customFormat="1"/>
    <row r="91" s="377" customFormat="1"/>
    <row r="92" s="377" customFormat="1"/>
    <row r="93" s="377" customFormat="1"/>
    <row r="94" s="377" customFormat="1"/>
    <row r="95" s="377" customFormat="1"/>
    <row r="96" s="377" customFormat="1"/>
    <row r="97" spans="1:31" s="377" customFormat="1"/>
    <row r="98" spans="1:31" s="377" customFormat="1"/>
    <row r="99" spans="1:31" s="377" customFormat="1"/>
    <row r="100" spans="1:31" s="377" customFormat="1"/>
    <row r="101" spans="1:31" s="377" customFormat="1">
      <c r="A101" s="364"/>
      <c r="B101" s="364"/>
      <c r="C101" s="364"/>
      <c r="D101" s="364"/>
      <c r="E101" s="364"/>
      <c r="F101" s="364"/>
      <c r="G101" s="364"/>
      <c r="H101" s="364"/>
      <c r="I101" s="364"/>
      <c r="J101" s="364"/>
      <c r="K101" s="364"/>
      <c r="L101" s="364"/>
      <c r="M101" s="364"/>
      <c r="N101" s="364"/>
      <c r="O101" s="364"/>
      <c r="P101" s="364"/>
      <c r="Q101" s="364"/>
      <c r="R101" s="364"/>
      <c r="S101" s="364"/>
      <c r="T101" s="364"/>
      <c r="U101" s="364"/>
      <c r="V101" s="364"/>
      <c r="W101" s="364"/>
      <c r="X101" s="364"/>
      <c r="Y101" s="364"/>
      <c r="Z101" s="364"/>
      <c r="AA101" s="364"/>
      <c r="AB101" s="364"/>
      <c r="AC101" s="364"/>
      <c r="AD101" s="364"/>
      <c r="AE101" s="364"/>
    </row>
  </sheetData>
  <sheetProtection algorithmName="SHA-512" hashValue="CAxNbZL3HjbbCGkuIvMTSJx69zZlfRws1Nmh+0NykspTEOGS1gk9iILYenAq/DKlvWAM2IutY0f+5KF88JIQmw==" saltValue="M41JKetV+WoAeoQxYuzKbA==" spinCount="100000" sheet="1" objects="1" scenarios="1"/>
  <mergeCells count="45">
    <mergeCell ref="B28:AD28"/>
    <mergeCell ref="A29:Z29"/>
    <mergeCell ref="AA29:AE29"/>
    <mergeCell ref="D19:E19"/>
    <mergeCell ref="A23:AE23"/>
    <mergeCell ref="A24:S24"/>
    <mergeCell ref="T24:AD25"/>
    <mergeCell ref="C25:F25"/>
    <mergeCell ref="G25:S25"/>
    <mergeCell ref="T26:AD26"/>
    <mergeCell ref="F19:M19"/>
    <mergeCell ref="N19:Q19"/>
    <mergeCell ref="R19:AE19"/>
    <mergeCell ref="B20:AE20"/>
    <mergeCell ref="B21:E21"/>
    <mergeCell ref="F21:M21"/>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N21:Q21"/>
    <mergeCell ref="R21:Y21"/>
    <mergeCell ref="Z21:AC21"/>
    <mergeCell ref="AD21:AE21"/>
    <mergeCell ref="A1:B1"/>
    <mergeCell ref="A2:AE2"/>
    <mergeCell ref="A3:AE3"/>
    <mergeCell ref="A4:AE4"/>
    <mergeCell ref="A5:AE5"/>
    <mergeCell ref="A6:B6"/>
    <mergeCell ref="D6:P6"/>
    <mergeCell ref="R6:AE6"/>
    <mergeCell ref="A7:B7"/>
    <mergeCell ref="D7:P9"/>
    <mergeCell ref="R7:AE7"/>
    <mergeCell ref="A10:AE10"/>
  </mergeCells>
  <pageMargins left="0.19685039370078741" right="0.19685039370078741" top="0.39370078740157483" bottom="0.39370078740157483" header="0.31496062992125984" footer="0.31496062992125984"/>
  <pageSetup paperSize="9" scale="7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tabColor rgb="FFFFFF99"/>
    <pageSetUpPr fitToPage="1"/>
  </sheetPr>
  <dimension ref="A1:BA470"/>
  <sheetViews>
    <sheetView workbookViewId="0">
      <selection activeCell="A4" sqref="A4:I4"/>
    </sheetView>
  </sheetViews>
  <sheetFormatPr defaultColWidth="9.140625" defaultRowHeight="12"/>
  <cols>
    <col min="1" max="6" width="9.140625" style="412"/>
    <col min="7" max="7" width="9.85546875" style="412" customWidth="1"/>
    <col min="8" max="8" width="9.140625" style="412"/>
    <col min="9" max="9" width="12.28515625" style="412" customWidth="1"/>
    <col min="10" max="53" width="9.140625" style="411"/>
    <col min="54" max="16384" width="9.140625" style="412"/>
  </cols>
  <sheetData>
    <row r="1" spans="1:53" ht="15.75" customHeight="1">
      <c r="A1" s="2042" t="s">
        <v>2464</v>
      </c>
      <c r="B1" s="2042"/>
      <c r="C1" s="2042"/>
      <c r="D1" s="2042"/>
      <c r="E1" s="2042"/>
      <c r="F1" s="2042"/>
      <c r="G1" s="2042"/>
      <c r="H1" s="2042"/>
      <c r="I1" s="2042"/>
    </row>
    <row r="2" spans="1:53">
      <c r="A2" s="2042"/>
      <c r="B2" s="2042"/>
      <c r="C2" s="2042"/>
      <c r="D2" s="2042"/>
      <c r="E2" s="2042"/>
      <c r="F2" s="2042"/>
      <c r="G2" s="2042"/>
      <c r="H2" s="2042"/>
      <c r="I2" s="2042"/>
    </row>
    <row r="3" spans="1:53" ht="15" customHeight="1">
      <c r="A3" s="2020" t="s">
        <v>2465</v>
      </c>
      <c r="B3" s="2020"/>
      <c r="C3" s="2020"/>
      <c r="D3" s="2020"/>
      <c r="E3" s="2020"/>
      <c r="F3" s="2020"/>
      <c r="G3" s="2020"/>
      <c r="H3" s="2020"/>
      <c r="I3" s="2020"/>
    </row>
    <row r="4" spans="1:53" ht="18" customHeight="1">
      <c r="A4" s="2043"/>
      <c r="B4" s="2044"/>
      <c r="C4" s="2044"/>
      <c r="D4" s="2044"/>
      <c r="E4" s="2044"/>
      <c r="F4" s="2044"/>
      <c r="G4" s="2044"/>
      <c r="H4" s="2044"/>
      <c r="I4" s="2044"/>
    </row>
    <row r="5" spans="1:53" ht="15" customHeight="1">
      <c r="A5" s="2045" t="s">
        <v>2466</v>
      </c>
      <c r="B5" s="2045"/>
      <c r="C5" s="2045"/>
      <c r="D5" s="2045"/>
      <c r="E5" s="2045"/>
      <c r="F5" s="2045"/>
      <c r="G5" s="2045"/>
      <c r="H5" s="2045"/>
      <c r="I5" s="2045"/>
    </row>
    <row r="6" spans="1:53" ht="18" customHeight="1">
      <c r="A6" s="2046"/>
      <c r="B6" s="2047"/>
      <c r="C6" s="2047"/>
      <c r="D6" s="2047"/>
      <c r="E6" s="2047"/>
      <c r="F6" s="2020" t="s">
        <v>2467</v>
      </c>
      <c r="G6" s="2048"/>
      <c r="H6" s="2049"/>
      <c r="I6" s="2050"/>
    </row>
    <row r="7" spans="1:53" ht="15" customHeight="1">
      <c r="A7" s="2020"/>
      <c r="B7" s="2020"/>
      <c r="C7" s="2020"/>
      <c r="D7" s="2020"/>
      <c r="E7" s="2020"/>
      <c r="F7" s="2020"/>
      <c r="G7" s="2020"/>
      <c r="H7" s="2020"/>
      <c r="I7" s="2020"/>
    </row>
    <row r="8" spans="1:53" ht="18" customHeight="1">
      <c r="A8" s="2023" t="s">
        <v>2468</v>
      </c>
      <c r="B8" s="2023"/>
      <c r="C8" s="2034" t="str">
        <f>+CONCATENATE(ZAKL_DATA!B4," ",ZAKL_DATA!B5)</f>
        <v xml:space="preserve"> </v>
      </c>
      <c r="D8" s="2034"/>
      <c r="E8" s="2034"/>
      <c r="F8" s="2035"/>
      <c r="G8" s="413" t="s">
        <v>2469</v>
      </c>
      <c r="H8" s="2036" t="str">
        <f>+'DAP1'!A9</f>
        <v/>
      </c>
      <c r="I8" s="2037"/>
    </row>
    <row r="9" spans="1:53" ht="15" customHeight="1">
      <c r="A9" s="2020"/>
      <c r="B9" s="2020"/>
      <c r="C9" s="2026" t="s">
        <v>2470</v>
      </c>
      <c r="D9" s="2026"/>
      <c r="E9" s="2026"/>
      <c r="F9" s="2038"/>
      <c r="G9" s="2020"/>
      <c r="H9" s="2039"/>
      <c r="I9" s="2039"/>
    </row>
    <row r="10" spans="1:53" s="416" customFormat="1" ht="18" customHeight="1">
      <c r="A10" s="414" t="s">
        <v>2471</v>
      </c>
      <c r="B10" s="2040" t="str">
        <f>+Prohl_manž!B7</f>
        <v xml:space="preserve"> , , PSČ </v>
      </c>
      <c r="C10" s="2040"/>
      <c r="D10" s="2040"/>
      <c r="E10" s="2040"/>
      <c r="F10" s="2040"/>
      <c r="G10" s="2040"/>
      <c r="H10" s="2040"/>
      <c r="I10" s="2040"/>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row>
    <row r="11" spans="1:53" ht="15" customHeight="1">
      <c r="A11" s="2020"/>
      <c r="B11" s="2020"/>
      <c r="C11" s="2020"/>
      <c r="D11" s="2020"/>
      <c r="E11" s="2020"/>
      <c r="F11" s="2020"/>
      <c r="G11" s="2020"/>
      <c r="H11" s="2020"/>
      <c r="I11" s="2020"/>
    </row>
    <row r="12" spans="1:53" s="416" customFormat="1" ht="18" customHeight="1">
      <c r="A12" s="2023" t="s">
        <v>2472</v>
      </c>
      <c r="B12" s="2023"/>
      <c r="C12" s="2023"/>
      <c r="D12" s="2041">
        <f>+'DAP1'!F24</f>
        <v>2025</v>
      </c>
      <c r="E12" s="2041"/>
      <c r="F12" s="2023" t="s">
        <v>2473</v>
      </c>
      <c r="G12" s="2023"/>
      <c r="H12" s="2023"/>
      <c r="I12" s="2023"/>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row>
    <row r="13" spans="1:53" s="416" customFormat="1" ht="18" customHeight="1">
      <c r="A13" s="2032" t="s">
        <v>2474</v>
      </c>
      <c r="B13" s="2032"/>
      <c r="C13" s="2032"/>
      <c r="D13" s="2032"/>
      <c r="E13" s="2032"/>
      <c r="F13" s="2032"/>
      <c r="G13" s="2033" t="s">
        <v>2475</v>
      </c>
      <c r="H13" s="2033"/>
      <c r="I13" s="2033"/>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row>
    <row r="14" spans="1:53" s="416" customFormat="1" ht="18" customHeight="1">
      <c r="A14" s="2023" t="s">
        <v>2476</v>
      </c>
      <c r="B14" s="2023"/>
      <c r="C14" s="2023"/>
      <c r="D14" s="2023"/>
      <c r="E14" s="2023"/>
      <c r="F14" s="2023"/>
      <c r="G14" s="2023"/>
      <c r="H14" s="2023"/>
      <c r="I14" s="2023"/>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15"/>
      <c r="AY14" s="415"/>
      <c r="AZ14" s="415"/>
      <c r="BA14" s="415"/>
    </row>
    <row r="15" spans="1:53" s="419" customFormat="1" ht="18" customHeight="1">
      <c r="A15" s="2027">
        <f>+'DAP2'!E4</f>
        <v>0</v>
      </c>
      <c r="B15" s="2027"/>
      <c r="C15" s="2027"/>
      <c r="D15" s="417" t="s">
        <v>2477</v>
      </c>
      <c r="E15" s="2028"/>
      <c r="F15" s="2028"/>
      <c r="G15" s="2028"/>
      <c r="H15" s="2028"/>
      <c r="I15" s="202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8"/>
      <c r="AM15" s="418"/>
      <c r="AN15" s="418"/>
      <c r="AO15" s="418"/>
      <c r="AP15" s="418"/>
      <c r="AQ15" s="418"/>
      <c r="AR15" s="418"/>
      <c r="AS15" s="418"/>
      <c r="AT15" s="418"/>
      <c r="AU15" s="418"/>
      <c r="AV15" s="418"/>
      <c r="AW15" s="418"/>
      <c r="AX15" s="418"/>
      <c r="AY15" s="418"/>
      <c r="AZ15" s="418"/>
      <c r="BA15" s="418"/>
    </row>
    <row r="16" spans="1:53" ht="15" customHeight="1">
      <c r="A16" s="2029"/>
      <c r="B16" s="2029"/>
      <c r="C16" s="2029"/>
      <c r="D16" s="2029"/>
      <c r="E16" s="2029"/>
      <c r="F16" s="2029"/>
      <c r="G16" s="2029"/>
      <c r="H16" s="2029"/>
      <c r="I16" s="2029"/>
    </row>
    <row r="17" spans="1:53" ht="15" customHeight="1">
      <c r="A17" s="2029"/>
      <c r="B17" s="2029"/>
      <c r="C17" s="2029"/>
      <c r="D17" s="2029"/>
      <c r="E17" s="2029"/>
      <c r="F17" s="2029"/>
      <c r="G17" s="2029"/>
      <c r="H17" s="2029"/>
      <c r="I17" s="2029"/>
    </row>
    <row r="18" spans="1:53" ht="15" customHeight="1">
      <c r="A18" s="2029"/>
      <c r="B18" s="2029"/>
      <c r="C18" s="2029"/>
      <c r="D18" s="2029"/>
      <c r="E18" s="2029"/>
      <c r="F18" s="2029"/>
      <c r="G18" s="2029"/>
      <c r="H18" s="2029"/>
      <c r="I18" s="2029"/>
    </row>
    <row r="19" spans="1:53" ht="15" customHeight="1">
      <c r="A19" s="2029"/>
      <c r="B19" s="2029"/>
      <c r="C19" s="2029"/>
      <c r="D19" s="2029"/>
      <c r="E19" s="2029"/>
      <c r="F19" s="2029"/>
      <c r="G19" s="2029"/>
      <c r="H19" s="2029"/>
      <c r="I19" s="2029"/>
    </row>
    <row r="20" spans="1:53" s="416" customFormat="1" ht="15" customHeight="1">
      <c r="A20" s="414" t="s">
        <v>2478</v>
      </c>
      <c r="B20" s="2030">
        <f ca="1">TODAY()</f>
        <v>46094</v>
      </c>
      <c r="C20" s="2030"/>
      <c r="D20" s="2031"/>
      <c r="E20" s="2031"/>
      <c r="F20" s="2031"/>
      <c r="G20" s="2031"/>
      <c r="H20" s="2031"/>
      <c r="I20" s="2031"/>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c r="BA20" s="415"/>
    </row>
    <row r="21" spans="1:53" ht="15" customHeight="1">
      <c r="A21" s="2022" t="s">
        <v>2479</v>
      </c>
      <c r="B21" s="2022"/>
      <c r="C21" s="2022"/>
      <c r="D21" s="2022"/>
      <c r="E21" s="2022"/>
      <c r="F21" s="2022"/>
      <c r="G21" s="2022"/>
      <c r="H21" s="2022"/>
      <c r="I21" s="2022"/>
    </row>
    <row r="22" spans="1:53" ht="15" customHeight="1">
      <c r="A22" s="2020"/>
      <c r="B22" s="2020"/>
      <c r="C22" s="2020"/>
      <c r="D22" s="2020"/>
      <c r="E22" s="2020"/>
      <c r="F22" s="2020"/>
      <c r="G22" s="2020"/>
      <c r="H22" s="2020"/>
      <c r="I22" s="2020"/>
    </row>
    <row r="23" spans="1:53" s="416" customFormat="1" ht="15" customHeight="1">
      <c r="A23" s="2023" t="s">
        <v>2480</v>
      </c>
      <c r="B23" s="2023"/>
      <c r="C23" s="2023"/>
      <c r="D23" s="2024"/>
      <c r="E23" s="2024"/>
      <c r="F23" s="2024"/>
      <c r="G23" s="421" t="s">
        <v>2481</v>
      </c>
      <c r="H23" s="2025"/>
      <c r="I23" s="202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c r="BA23" s="415"/>
    </row>
    <row r="24" spans="1:53" ht="15" customHeight="1">
      <c r="A24" s="2020"/>
      <c r="B24" s="2020"/>
      <c r="C24" s="2020"/>
      <c r="D24" s="2026" t="s">
        <v>2470</v>
      </c>
      <c r="E24" s="2026"/>
      <c r="F24" s="2026"/>
      <c r="G24" s="2020"/>
      <c r="H24" s="2020"/>
      <c r="I24" s="2020"/>
    </row>
    <row r="25" spans="1:53">
      <c r="A25" s="2020"/>
      <c r="B25" s="2020"/>
      <c r="C25" s="2020"/>
      <c r="D25" s="2020"/>
      <c r="E25" s="2020"/>
      <c r="F25" s="2020"/>
      <c r="G25" s="2020"/>
      <c r="H25" s="2020"/>
      <c r="I25" s="2020"/>
    </row>
    <row r="26" spans="1:53">
      <c r="A26" s="2020"/>
      <c r="B26" s="2020"/>
      <c r="C26" s="2020"/>
      <c r="D26" s="2020"/>
      <c r="E26" s="2020"/>
      <c r="F26" s="2020"/>
      <c r="G26" s="2020"/>
      <c r="H26" s="2020"/>
      <c r="I26" s="2020"/>
    </row>
    <row r="27" spans="1:53">
      <c r="A27" s="2020"/>
      <c r="B27" s="2020"/>
      <c r="C27" s="2020"/>
      <c r="D27" s="2020"/>
      <c r="E27" s="2020"/>
      <c r="F27" s="2020"/>
      <c r="G27" s="2020"/>
      <c r="H27" s="2020"/>
      <c r="I27" s="2020"/>
    </row>
    <row r="28" spans="1:53">
      <c r="A28" s="2020"/>
      <c r="B28" s="2020"/>
      <c r="C28" s="2020"/>
      <c r="D28" s="2020"/>
      <c r="E28" s="2020"/>
      <c r="F28" s="2020"/>
      <c r="G28" s="2020"/>
      <c r="H28" s="2020"/>
      <c r="I28" s="2020"/>
    </row>
    <row r="29" spans="1:53">
      <c r="A29" s="2020"/>
      <c r="B29" s="2020"/>
      <c r="C29" s="2020"/>
      <c r="D29" s="2020"/>
      <c r="E29" s="2020"/>
      <c r="F29" s="2020"/>
      <c r="G29" s="2020"/>
      <c r="H29" s="2020"/>
      <c r="I29" s="2020"/>
    </row>
    <row r="30" spans="1:53">
      <c r="A30" s="2020"/>
      <c r="B30" s="2020"/>
      <c r="C30" s="2020"/>
      <c r="D30" s="2020"/>
      <c r="E30" s="2020"/>
      <c r="F30" s="2020"/>
      <c r="G30" s="2020"/>
      <c r="H30" s="2020"/>
      <c r="I30" s="2020"/>
    </row>
    <row r="31" spans="1:53">
      <c r="A31" s="2020"/>
      <c r="B31" s="2020"/>
      <c r="C31" s="2020"/>
      <c r="D31" s="2020"/>
      <c r="E31" s="2020"/>
      <c r="F31" s="2020"/>
      <c r="G31" s="2020"/>
      <c r="H31" s="2020"/>
      <c r="I31" s="2020"/>
    </row>
    <row r="32" spans="1:53">
      <c r="A32" s="2020"/>
      <c r="B32" s="2020"/>
      <c r="C32" s="2020"/>
      <c r="D32" s="2020"/>
      <c r="E32" s="2020"/>
      <c r="F32" s="2020"/>
      <c r="G32" s="2020"/>
      <c r="H32" s="2020"/>
      <c r="I32" s="2020"/>
    </row>
    <row r="33" spans="1:9">
      <c r="A33" s="2020"/>
      <c r="B33" s="2020"/>
      <c r="C33" s="2020"/>
      <c r="D33" s="2020"/>
      <c r="E33" s="2020"/>
      <c r="F33" s="2020"/>
      <c r="G33" s="2020"/>
      <c r="H33" s="2020"/>
      <c r="I33" s="2020"/>
    </row>
    <row r="34" spans="1:9">
      <c r="A34" s="2020"/>
      <c r="B34" s="2020"/>
      <c r="C34" s="2020"/>
      <c r="D34" s="2020"/>
      <c r="E34" s="2020"/>
      <c r="F34" s="2020"/>
      <c r="G34" s="2020"/>
      <c r="H34" s="2020"/>
      <c r="I34" s="2020"/>
    </row>
    <row r="35" spans="1:9">
      <c r="A35" s="2020"/>
      <c r="B35" s="2020"/>
      <c r="C35" s="2020"/>
      <c r="D35" s="2020"/>
      <c r="E35" s="2020"/>
      <c r="F35" s="2020"/>
      <c r="G35" s="2020"/>
      <c r="H35" s="2020"/>
      <c r="I35" s="2020"/>
    </row>
    <row r="36" spans="1:9">
      <c r="A36" s="2020"/>
      <c r="B36" s="2020"/>
      <c r="C36" s="2020"/>
      <c r="D36" s="2020"/>
      <c r="E36" s="2020"/>
      <c r="F36" s="2020"/>
      <c r="G36" s="2020"/>
      <c r="H36" s="2020"/>
      <c r="I36" s="2020"/>
    </row>
    <row r="37" spans="1:9">
      <c r="A37" s="2020"/>
      <c r="B37" s="2020"/>
      <c r="C37" s="2020"/>
      <c r="D37" s="2020"/>
      <c r="E37" s="2020"/>
      <c r="F37" s="2020"/>
      <c r="G37" s="2020"/>
      <c r="H37" s="2020"/>
      <c r="I37" s="2020"/>
    </row>
    <row r="38" spans="1:9">
      <c r="A38" s="2020"/>
      <c r="B38" s="2020"/>
      <c r="C38" s="2020"/>
      <c r="D38" s="2020"/>
      <c r="E38" s="2020"/>
      <c r="F38" s="2020"/>
      <c r="G38" s="2020"/>
      <c r="H38" s="2020"/>
      <c r="I38" s="2020"/>
    </row>
    <row r="39" spans="1:9">
      <c r="A39" s="2020"/>
      <c r="B39" s="2020"/>
      <c r="C39" s="2020"/>
      <c r="D39" s="2020"/>
      <c r="E39" s="2020"/>
      <c r="F39" s="2020"/>
      <c r="G39" s="2020"/>
      <c r="H39" s="2020"/>
      <c r="I39" s="2020"/>
    </row>
    <row r="40" spans="1:9">
      <c r="A40" s="2020"/>
      <c r="B40" s="2020"/>
      <c r="C40" s="2020"/>
      <c r="D40" s="2020"/>
      <c r="E40" s="2020"/>
      <c r="F40" s="2020"/>
      <c r="G40" s="2020"/>
      <c r="H40" s="2020"/>
      <c r="I40" s="2020"/>
    </row>
    <row r="41" spans="1:9">
      <c r="A41" s="2020"/>
      <c r="B41" s="2020"/>
      <c r="C41" s="2020"/>
      <c r="D41" s="2020"/>
      <c r="E41" s="2020"/>
      <c r="F41" s="2020"/>
      <c r="G41" s="2020"/>
      <c r="H41" s="2020"/>
      <c r="I41" s="2020"/>
    </row>
    <row r="42" spans="1:9">
      <c r="A42" s="2020"/>
      <c r="B42" s="2020"/>
      <c r="C42" s="2020"/>
      <c r="D42" s="2020"/>
      <c r="E42" s="2020"/>
      <c r="F42" s="2020"/>
      <c r="G42" s="2020"/>
      <c r="H42" s="2020"/>
      <c r="I42" s="2020"/>
    </row>
    <row r="43" spans="1:9">
      <c r="A43" s="2020"/>
      <c r="B43" s="2020"/>
      <c r="C43" s="2020"/>
      <c r="D43" s="2020"/>
      <c r="E43" s="2020"/>
      <c r="F43" s="2020"/>
      <c r="G43" s="2020"/>
      <c r="H43" s="2020"/>
      <c r="I43" s="2020"/>
    </row>
    <row r="44" spans="1:9">
      <c r="A44" s="2020"/>
      <c r="B44" s="2020"/>
      <c r="C44" s="2020"/>
      <c r="D44" s="2020"/>
      <c r="E44" s="2020"/>
      <c r="F44" s="2020"/>
      <c r="G44" s="2020"/>
      <c r="H44" s="2020"/>
      <c r="I44" s="2020"/>
    </row>
    <row r="45" spans="1:9">
      <c r="A45" s="2020"/>
      <c r="B45" s="2020"/>
      <c r="C45" s="2020"/>
      <c r="D45" s="2020"/>
      <c r="E45" s="2020"/>
      <c r="F45" s="2020"/>
      <c r="G45" s="2020"/>
      <c r="H45" s="2020"/>
      <c r="I45" s="2020"/>
    </row>
    <row r="46" spans="1:9">
      <c r="A46" s="2020"/>
      <c r="B46" s="2020"/>
      <c r="C46" s="2020"/>
      <c r="D46" s="2020"/>
      <c r="E46" s="2020"/>
      <c r="F46" s="2020"/>
      <c r="G46" s="2020"/>
      <c r="H46" s="2020"/>
      <c r="I46" s="2020"/>
    </row>
    <row r="47" spans="1:9">
      <c r="A47" s="2020"/>
      <c r="B47" s="2020"/>
      <c r="C47" s="2020"/>
      <c r="D47" s="2020"/>
      <c r="E47" s="2020"/>
      <c r="F47" s="2020"/>
      <c r="G47" s="2020"/>
      <c r="H47" s="2020"/>
      <c r="I47" s="2020"/>
    </row>
    <row r="48" spans="1:9">
      <c r="A48" s="2020"/>
      <c r="B48" s="2020"/>
      <c r="C48" s="2020"/>
      <c r="D48" s="2020"/>
      <c r="E48" s="2020"/>
      <c r="F48" s="2020"/>
      <c r="G48" s="2020"/>
      <c r="H48" s="2020"/>
      <c r="I48" s="2020"/>
    </row>
    <row r="49" spans="1:9">
      <c r="A49" s="2020"/>
      <c r="B49" s="2020"/>
      <c r="C49" s="2020"/>
      <c r="D49" s="2020"/>
      <c r="E49" s="2020"/>
      <c r="F49" s="2020"/>
      <c r="G49" s="2020"/>
      <c r="H49" s="2020"/>
      <c r="I49" s="2020"/>
    </row>
    <row r="50" spans="1:9">
      <c r="A50" s="2020"/>
      <c r="B50" s="2020"/>
      <c r="C50" s="2020"/>
      <c r="D50" s="2020"/>
      <c r="E50" s="2020"/>
      <c r="F50" s="2020"/>
      <c r="G50" s="2020"/>
      <c r="H50" s="2020"/>
      <c r="I50" s="2020"/>
    </row>
    <row r="51" spans="1:9">
      <c r="A51" s="2020"/>
      <c r="B51" s="2020"/>
      <c r="C51" s="2020"/>
      <c r="D51" s="2020"/>
      <c r="E51" s="2020"/>
      <c r="F51" s="2020"/>
      <c r="G51" s="2020"/>
      <c r="H51" s="2020"/>
      <c r="I51" s="2020"/>
    </row>
    <row r="52" spans="1:9">
      <c r="A52" s="420" t="s">
        <v>2482</v>
      </c>
      <c r="B52" s="420"/>
      <c r="C52" s="420"/>
      <c r="D52" s="420"/>
      <c r="E52" s="420"/>
      <c r="F52" s="420"/>
      <c r="G52" s="420"/>
      <c r="H52" s="420"/>
      <c r="I52" s="420"/>
    </row>
    <row r="53" spans="1:9" ht="38.25" customHeight="1">
      <c r="A53" s="2021" t="s">
        <v>2483</v>
      </c>
      <c r="B53" s="2021"/>
      <c r="C53" s="2021"/>
      <c r="D53" s="2021"/>
      <c r="E53" s="2021"/>
      <c r="F53" s="2021"/>
      <c r="G53" s="2021"/>
      <c r="H53" s="2021"/>
      <c r="I53" s="2021"/>
    </row>
    <row r="54" spans="1:9" s="411" customFormat="1"/>
    <row r="55" spans="1:9" s="411" customFormat="1"/>
    <row r="56" spans="1:9" s="411" customFormat="1"/>
    <row r="57" spans="1:9" s="411" customFormat="1"/>
    <row r="58" spans="1:9" s="411" customFormat="1"/>
    <row r="59" spans="1:9" s="411" customFormat="1"/>
    <row r="60" spans="1:9" s="411" customFormat="1"/>
    <row r="61" spans="1:9" s="411" customFormat="1"/>
    <row r="62" spans="1:9" s="411" customFormat="1"/>
    <row r="63" spans="1:9" s="411" customFormat="1"/>
    <row r="64" spans="1:9" s="411" customFormat="1"/>
    <row r="65" s="411" customFormat="1"/>
    <row r="66" s="411" customFormat="1"/>
    <row r="67" s="411" customFormat="1"/>
    <row r="68" s="411" customFormat="1"/>
    <row r="69" s="411" customFormat="1"/>
    <row r="70" s="411" customFormat="1"/>
    <row r="71" s="411" customFormat="1"/>
    <row r="72" s="411" customFormat="1"/>
    <row r="73" s="411" customFormat="1"/>
    <row r="74" s="411" customFormat="1"/>
    <row r="75" s="411" customFormat="1"/>
    <row r="76" s="411" customFormat="1"/>
    <row r="77" s="411" customFormat="1"/>
    <row r="78" s="411" customFormat="1"/>
    <row r="79" s="411" customFormat="1"/>
    <row r="80" s="411" customFormat="1"/>
    <row r="81" s="411" customFormat="1"/>
    <row r="82" s="411" customFormat="1"/>
    <row r="83" s="411" customFormat="1"/>
    <row r="84" s="411" customFormat="1"/>
    <row r="85" s="411" customFormat="1"/>
    <row r="86" s="411" customFormat="1"/>
    <row r="87" s="411" customFormat="1"/>
    <row r="88" s="411" customFormat="1"/>
    <row r="89" s="411" customFormat="1"/>
    <row r="90" s="411" customFormat="1"/>
    <row r="91" s="411" customFormat="1"/>
    <row r="92" s="411" customFormat="1"/>
    <row r="93" s="411" customFormat="1"/>
    <row r="94" s="411" customFormat="1"/>
    <row r="95" s="411" customFormat="1"/>
    <row r="96" s="411" customFormat="1"/>
    <row r="97" s="411" customFormat="1"/>
    <row r="98" s="411" customFormat="1"/>
    <row r="99" s="411" customFormat="1"/>
    <row r="100" s="411" customFormat="1"/>
    <row r="101" s="411" customFormat="1"/>
    <row r="102" s="411" customFormat="1"/>
    <row r="103" s="411" customFormat="1"/>
    <row r="104" s="411" customFormat="1"/>
    <row r="105" s="411" customFormat="1"/>
    <row r="106" s="411" customFormat="1"/>
    <row r="107" s="411" customFormat="1"/>
    <row r="108" s="411" customFormat="1"/>
    <row r="109" s="411" customFormat="1"/>
    <row r="110" s="411" customFormat="1"/>
    <row r="111" s="411" customFormat="1"/>
    <row r="112" s="411" customFormat="1"/>
    <row r="113" s="411" customFormat="1"/>
    <row r="114" s="411" customFormat="1"/>
    <row r="115" s="411" customFormat="1"/>
    <row r="116" s="411" customFormat="1"/>
    <row r="117" s="411" customFormat="1"/>
    <row r="118" s="411" customFormat="1"/>
    <row r="119" s="411" customFormat="1"/>
    <row r="120" s="411" customFormat="1"/>
    <row r="121" s="411" customFormat="1"/>
    <row r="122" s="411" customFormat="1"/>
    <row r="123" s="411" customFormat="1"/>
    <row r="124" s="411" customFormat="1"/>
    <row r="125" s="411" customFormat="1"/>
    <row r="126" s="411" customFormat="1"/>
    <row r="127" s="411" customFormat="1"/>
    <row r="128" s="411" customFormat="1"/>
    <row r="129" s="411" customFormat="1"/>
    <row r="130" s="411" customFormat="1"/>
    <row r="131" s="411" customFormat="1"/>
    <row r="132" s="411" customFormat="1"/>
    <row r="133" s="411" customFormat="1"/>
    <row r="134" s="411" customFormat="1"/>
    <row r="135" s="411" customFormat="1"/>
    <row r="136" s="411" customFormat="1"/>
    <row r="137" s="411" customFormat="1"/>
    <row r="138" s="411" customFormat="1"/>
    <row r="139" s="411" customFormat="1"/>
    <row r="140" s="411" customFormat="1"/>
    <row r="141" s="411" customFormat="1"/>
    <row r="142" s="411" customFormat="1"/>
    <row r="143" s="411" customFormat="1"/>
    <row r="144" s="411" customFormat="1"/>
    <row r="145" s="411" customFormat="1"/>
    <row r="146" s="411" customFormat="1"/>
    <row r="147" s="411" customFormat="1"/>
    <row r="148" s="411" customFormat="1"/>
    <row r="149" s="411" customFormat="1"/>
    <row r="150" s="411" customFormat="1"/>
    <row r="151" s="411" customFormat="1"/>
    <row r="152" s="411" customFormat="1"/>
    <row r="153" s="411" customFormat="1"/>
    <row r="154" s="411" customFormat="1"/>
    <row r="155" s="411" customFormat="1"/>
    <row r="156" s="411" customFormat="1"/>
    <row r="157" s="411" customFormat="1"/>
    <row r="158" s="411" customFormat="1"/>
    <row r="159" s="411" customFormat="1"/>
    <row r="160" s="411" customFormat="1"/>
    <row r="161" s="411" customFormat="1"/>
    <row r="162" s="411" customFormat="1"/>
    <row r="163" s="411" customFormat="1"/>
    <row r="164" s="411" customFormat="1"/>
    <row r="165" s="411" customFormat="1"/>
    <row r="166" s="411" customFormat="1"/>
    <row r="167" s="411" customFormat="1"/>
    <row r="168" s="411" customFormat="1"/>
    <row r="169" s="411" customFormat="1"/>
    <row r="170" s="411" customFormat="1"/>
    <row r="171" s="411" customFormat="1"/>
    <row r="172" s="411" customFormat="1"/>
    <row r="173" s="411" customFormat="1"/>
    <row r="174" s="411" customFormat="1"/>
    <row r="175" s="411" customFormat="1"/>
    <row r="176" s="411" customFormat="1"/>
    <row r="177" s="411" customFormat="1"/>
    <row r="178" s="411" customFormat="1"/>
    <row r="179" s="411" customFormat="1"/>
    <row r="180" s="411" customFormat="1"/>
    <row r="181" s="411" customFormat="1"/>
    <row r="182" s="411" customFormat="1"/>
    <row r="183" s="411" customFormat="1"/>
    <row r="184" s="411" customFormat="1"/>
    <row r="185" s="411" customFormat="1"/>
    <row r="186" s="411" customFormat="1"/>
    <row r="187" s="411" customFormat="1"/>
    <row r="188" s="411" customFormat="1"/>
    <row r="189" s="411" customFormat="1"/>
    <row r="190" s="411" customFormat="1"/>
    <row r="191" s="411" customFormat="1"/>
    <row r="192" s="411" customFormat="1"/>
    <row r="193" s="411" customFormat="1"/>
    <row r="194" s="411" customFormat="1"/>
    <row r="195" s="411" customFormat="1"/>
    <row r="196" s="411" customFormat="1"/>
    <row r="197" s="411" customFormat="1"/>
    <row r="198" s="411" customFormat="1"/>
    <row r="199" s="411" customFormat="1"/>
    <row r="200" s="411" customFormat="1"/>
    <row r="201" s="411" customFormat="1"/>
    <row r="202" s="411" customFormat="1"/>
    <row r="203" s="411" customFormat="1"/>
    <row r="204" s="411" customFormat="1"/>
    <row r="205" s="411" customFormat="1"/>
    <row r="206" s="411" customFormat="1"/>
    <row r="207" s="411" customFormat="1"/>
    <row r="208" s="411" customFormat="1"/>
    <row r="209" s="411" customFormat="1"/>
    <row r="210" s="411" customFormat="1"/>
    <row r="211" s="411" customFormat="1"/>
    <row r="212" s="411" customFormat="1"/>
    <row r="213" s="411" customFormat="1"/>
    <row r="214" s="411" customFormat="1"/>
    <row r="215" s="411" customFormat="1"/>
    <row r="216" s="411" customFormat="1"/>
    <row r="217" s="411" customFormat="1"/>
    <row r="218" s="411" customFormat="1"/>
    <row r="219" s="411" customFormat="1"/>
    <row r="220" s="411" customFormat="1"/>
    <row r="221" s="411" customFormat="1"/>
    <row r="222" s="411" customFormat="1"/>
    <row r="223" s="411" customFormat="1"/>
    <row r="224" s="411" customFormat="1"/>
    <row r="225" s="411" customFormat="1"/>
    <row r="226" s="411" customFormat="1"/>
    <row r="227" s="411" customFormat="1"/>
    <row r="228" s="411" customFormat="1"/>
    <row r="229" s="411" customFormat="1"/>
    <row r="230" s="411" customFormat="1"/>
    <row r="231" s="411" customFormat="1"/>
    <row r="232" s="411" customFormat="1"/>
    <row r="233" s="411" customFormat="1"/>
    <row r="234" s="411" customFormat="1"/>
    <row r="235" s="411" customFormat="1"/>
    <row r="236" s="411" customFormat="1"/>
    <row r="237" s="411" customFormat="1"/>
    <row r="238" s="411" customFormat="1"/>
    <row r="239" s="411" customFormat="1"/>
    <row r="240" s="411" customFormat="1"/>
    <row r="241" s="411" customFormat="1"/>
    <row r="242" s="411" customFormat="1"/>
    <row r="243" s="411" customFormat="1"/>
    <row r="244" s="411" customFormat="1"/>
    <row r="245" s="411" customFormat="1"/>
    <row r="246" s="411" customFormat="1"/>
    <row r="247" s="411" customFormat="1"/>
    <row r="248" s="411" customFormat="1"/>
    <row r="249" s="411" customFormat="1"/>
    <row r="250" s="411" customFormat="1"/>
    <row r="251" s="411" customFormat="1"/>
    <row r="252" s="411" customFormat="1"/>
    <row r="253" s="411" customFormat="1"/>
    <row r="254" s="411" customFormat="1"/>
    <row r="255" s="411" customFormat="1"/>
    <row r="256" s="411" customFormat="1"/>
    <row r="257" s="411" customFormat="1"/>
    <row r="258" s="411" customFormat="1"/>
    <row r="259" s="411" customFormat="1"/>
    <row r="260" s="411" customFormat="1"/>
    <row r="261" s="411" customFormat="1"/>
    <row r="262" s="411" customFormat="1"/>
    <row r="263" s="411" customFormat="1"/>
    <row r="264" s="411" customFormat="1"/>
    <row r="265" s="411" customFormat="1"/>
    <row r="266" s="411" customFormat="1"/>
    <row r="267" s="411" customFormat="1"/>
    <row r="268" s="411" customFormat="1"/>
    <row r="269" s="411" customFormat="1"/>
    <row r="270" s="411" customFormat="1"/>
    <row r="271" s="411" customFormat="1"/>
    <row r="272" s="411" customFormat="1"/>
    <row r="273" s="411" customFormat="1"/>
    <row r="274" s="411" customFormat="1"/>
    <row r="275" s="411" customFormat="1"/>
    <row r="276" s="411" customFormat="1"/>
    <row r="277" s="411" customFormat="1"/>
    <row r="278" s="411" customFormat="1"/>
    <row r="279" s="411" customFormat="1"/>
    <row r="280" s="411" customFormat="1"/>
    <row r="281" s="411" customFormat="1"/>
    <row r="282" s="411" customFormat="1"/>
    <row r="283" s="411" customFormat="1"/>
    <row r="284" s="411" customFormat="1"/>
    <row r="285" s="411" customFormat="1"/>
    <row r="286" s="411" customFormat="1"/>
    <row r="287" s="411" customFormat="1"/>
    <row r="288" s="411" customFormat="1"/>
    <row r="289" s="411" customFormat="1"/>
    <row r="290" s="411" customFormat="1"/>
    <row r="291" s="411" customFormat="1"/>
    <row r="292" s="411" customFormat="1"/>
    <row r="293" s="411" customFormat="1"/>
    <row r="294" s="411" customFormat="1"/>
    <row r="295" s="411" customFormat="1"/>
    <row r="296" s="411" customFormat="1"/>
    <row r="297" s="411" customFormat="1"/>
    <row r="298" s="411" customFormat="1"/>
    <row r="299" s="411" customFormat="1"/>
    <row r="300" s="411" customFormat="1"/>
    <row r="301" s="411" customFormat="1"/>
    <row r="302" s="411" customFormat="1"/>
    <row r="303" s="411" customFormat="1"/>
    <row r="304" s="411" customFormat="1"/>
    <row r="305" s="411" customFormat="1"/>
    <row r="306" s="411" customFormat="1"/>
    <row r="307" s="411" customFormat="1"/>
    <row r="308" s="411" customFormat="1"/>
    <row r="309" s="411" customFormat="1"/>
    <row r="310" s="411" customFormat="1"/>
    <row r="311" s="411" customFormat="1"/>
    <row r="312" s="411" customFormat="1"/>
    <row r="313" s="411" customFormat="1"/>
    <row r="314" s="411" customFormat="1"/>
    <row r="315" s="411" customFormat="1"/>
    <row r="316" s="411" customFormat="1"/>
    <row r="317" s="411" customFormat="1"/>
    <row r="318" s="411" customFormat="1"/>
    <row r="319" s="411" customFormat="1"/>
    <row r="320" s="411" customFormat="1"/>
    <row r="321" s="411" customFormat="1"/>
    <row r="322" s="411" customFormat="1"/>
    <row r="323" s="411" customFormat="1"/>
    <row r="324" s="411" customFormat="1"/>
    <row r="325" s="411" customFormat="1"/>
    <row r="326" s="411" customFormat="1"/>
    <row r="327" s="411" customFormat="1"/>
    <row r="328" s="411" customFormat="1"/>
    <row r="329" s="411" customFormat="1"/>
    <row r="330" s="411" customFormat="1"/>
    <row r="331" s="411" customFormat="1"/>
    <row r="332" s="411" customFormat="1"/>
    <row r="333" s="411" customFormat="1"/>
    <row r="334" s="411" customFormat="1"/>
    <row r="335" s="411" customFormat="1"/>
    <row r="336" s="411" customFormat="1"/>
    <row r="337" s="411" customFormat="1"/>
    <row r="338" s="411" customFormat="1"/>
    <row r="339" s="411" customFormat="1"/>
    <row r="340" s="411" customFormat="1"/>
    <row r="341" s="411" customFormat="1"/>
    <row r="342" s="411" customFormat="1"/>
    <row r="343" s="411" customFormat="1"/>
    <row r="344" s="411" customFormat="1"/>
    <row r="345" s="411" customFormat="1"/>
    <row r="346" s="411" customFormat="1"/>
    <row r="347" s="411" customFormat="1"/>
    <row r="348" s="411" customFormat="1"/>
    <row r="349" s="411" customFormat="1"/>
    <row r="350" s="411" customFormat="1"/>
    <row r="351" s="411" customFormat="1"/>
    <row r="352" s="411" customFormat="1"/>
    <row r="353" s="411" customFormat="1"/>
    <row r="354" s="411" customFormat="1"/>
    <row r="355" s="411" customFormat="1"/>
    <row r="356" s="411" customFormat="1"/>
    <row r="357" s="411" customFormat="1"/>
    <row r="358" s="411" customFormat="1"/>
    <row r="359" s="411" customFormat="1"/>
    <row r="360" s="411" customFormat="1"/>
    <row r="361" s="411" customFormat="1"/>
    <row r="362" s="411" customFormat="1"/>
    <row r="363" s="411" customFormat="1"/>
    <row r="364" s="411" customFormat="1"/>
    <row r="365" s="411" customFormat="1"/>
    <row r="366" s="411" customFormat="1"/>
    <row r="367" s="411" customFormat="1"/>
    <row r="368" s="411" customFormat="1"/>
    <row r="369" s="411" customFormat="1"/>
    <row r="370" s="411" customFormat="1"/>
    <row r="371" s="411" customFormat="1"/>
    <row r="372" s="411" customFormat="1"/>
    <row r="373" s="411" customFormat="1"/>
    <row r="374" s="411" customFormat="1"/>
    <row r="375" s="411" customFormat="1"/>
    <row r="376" s="411" customFormat="1"/>
    <row r="377" s="411" customFormat="1"/>
    <row r="378" s="411" customFormat="1"/>
    <row r="379" s="411" customFormat="1"/>
    <row r="380" s="411" customFormat="1"/>
    <row r="381" s="411" customFormat="1"/>
    <row r="382" s="411" customFormat="1"/>
    <row r="383" s="411" customFormat="1"/>
    <row r="384" s="411" customFormat="1"/>
    <row r="385" s="411" customFormat="1"/>
    <row r="386" s="411" customFormat="1"/>
    <row r="387" s="411" customFormat="1"/>
    <row r="388" s="411" customFormat="1"/>
    <row r="389" s="411" customFormat="1"/>
    <row r="390" s="411" customFormat="1"/>
    <row r="391" s="411" customFormat="1"/>
    <row r="392" s="411" customFormat="1"/>
    <row r="393" s="411" customFormat="1"/>
    <row r="394" s="411" customFormat="1"/>
    <row r="395" s="411" customFormat="1"/>
    <row r="396" s="411" customFormat="1"/>
    <row r="397" s="411" customFormat="1"/>
    <row r="398" s="411" customFormat="1"/>
    <row r="399" s="411" customFormat="1"/>
    <row r="400" s="411" customFormat="1"/>
    <row r="401" s="411" customFormat="1"/>
    <row r="402" s="411" customFormat="1"/>
    <row r="403" s="411" customFormat="1"/>
    <row r="404" s="411" customFormat="1"/>
    <row r="405" s="411" customFormat="1"/>
    <row r="406" s="411" customFormat="1"/>
    <row r="407" s="411" customFormat="1"/>
    <row r="408" s="411" customFormat="1"/>
    <row r="409" s="411" customFormat="1"/>
    <row r="410" s="411" customFormat="1"/>
    <row r="411" s="411" customFormat="1"/>
    <row r="412" s="411" customFormat="1"/>
    <row r="413" s="411" customFormat="1"/>
    <row r="414" s="411" customFormat="1"/>
    <row r="415" s="411" customFormat="1"/>
    <row r="416" s="411" customFormat="1"/>
    <row r="417" s="411" customFormat="1"/>
    <row r="418" s="411" customFormat="1"/>
    <row r="419" s="411" customFormat="1"/>
    <row r="420" s="411" customFormat="1"/>
    <row r="421" s="411" customFormat="1"/>
    <row r="422" s="411" customFormat="1"/>
    <row r="423" s="411" customFormat="1"/>
    <row r="424" s="411" customFormat="1"/>
    <row r="425" s="411" customFormat="1"/>
    <row r="426" s="411" customFormat="1"/>
    <row r="427" s="411" customFormat="1"/>
    <row r="428" s="411" customFormat="1"/>
    <row r="429" s="411" customFormat="1"/>
    <row r="430" s="411" customFormat="1"/>
    <row r="431" s="411" customFormat="1"/>
    <row r="432" s="411" customFormat="1"/>
    <row r="433" s="411" customFormat="1"/>
    <row r="434" s="411" customFormat="1"/>
    <row r="435" s="411" customFormat="1"/>
    <row r="436" s="411" customFormat="1"/>
    <row r="437" s="411" customFormat="1"/>
    <row r="438" s="411" customFormat="1"/>
    <row r="439" s="411" customFormat="1"/>
    <row r="440" s="411" customFormat="1"/>
    <row r="441" s="411" customFormat="1"/>
    <row r="442" s="411" customFormat="1"/>
    <row r="443" s="411" customFormat="1"/>
    <row r="444" s="411" customFormat="1"/>
    <row r="445" s="411" customFormat="1"/>
    <row r="446" s="411" customFormat="1"/>
    <row r="447" s="411" customFormat="1"/>
    <row r="448" s="411" customFormat="1"/>
    <row r="449" s="411" customFormat="1"/>
    <row r="450" s="411" customFormat="1"/>
    <row r="451" s="411" customFormat="1"/>
    <row r="452" s="411" customFormat="1"/>
    <row r="453" s="411" customFormat="1"/>
    <row r="454" s="411" customFormat="1"/>
    <row r="455" s="411" customFormat="1"/>
    <row r="456" s="411" customFormat="1"/>
    <row r="457" s="411" customFormat="1"/>
    <row r="458" s="411" customFormat="1"/>
    <row r="459" s="411" customFormat="1"/>
    <row r="460" s="411" customFormat="1"/>
    <row r="461" s="411" customFormat="1"/>
    <row r="462" s="411" customFormat="1"/>
    <row r="463" s="411" customFormat="1"/>
    <row r="464" s="411" customFormat="1"/>
    <row r="465" s="411" customFormat="1"/>
    <row r="466" s="411" customFormat="1"/>
    <row r="467" s="411" customFormat="1"/>
    <row r="468" s="411" customFormat="1"/>
    <row r="469" s="411" customFormat="1"/>
    <row r="470" s="411" customFormat="1"/>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E32D-03BC-4D03-B02E-5578EBC8B2FF}">
  <sheetPr>
    <tabColor theme="6" tint="0.59999389629810485"/>
  </sheetPr>
  <dimension ref="A1:EC119"/>
  <sheetViews>
    <sheetView topLeftCell="A22" workbookViewId="0">
      <selection activeCell="A11" sqref="A11:AJ11"/>
    </sheetView>
  </sheetViews>
  <sheetFormatPr defaultRowHeight="12.75"/>
  <cols>
    <col min="1" max="1" width="2.7109375" style="314" customWidth="1"/>
    <col min="2" max="2" width="1.42578125" style="314" customWidth="1"/>
    <col min="3" max="3" width="2.28515625" style="314" customWidth="1"/>
    <col min="4" max="4" width="0.85546875" style="314" customWidth="1"/>
    <col min="5" max="5" width="2.28515625" style="314" customWidth="1"/>
    <col min="6" max="6" width="0.85546875" style="314" customWidth="1"/>
    <col min="7" max="7" width="2.28515625" style="314" customWidth="1"/>
    <col min="8" max="8" width="0.85546875" style="314" customWidth="1"/>
    <col min="9" max="9" width="2.28515625" style="314" customWidth="1"/>
    <col min="10" max="10" width="0.85546875" style="314" customWidth="1"/>
    <col min="11" max="11" width="2.28515625" style="314" customWidth="1"/>
    <col min="12" max="12" width="0.85546875" style="314" customWidth="1"/>
    <col min="13" max="13" width="2.28515625" style="314" customWidth="1"/>
    <col min="14" max="14" width="0.85546875" style="314" customWidth="1"/>
    <col min="15" max="15" width="2.28515625" style="314" customWidth="1"/>
    <col min="16" max="16" width="0.85546875" style="314" customWidth="1"/>
    <col min="17" max="17" width="2.28515625" style="314" customWidth="1"/>
    <col min="18" max="18" width="0.85546875" style="314" customWidth="1"/>
    <col min="19" max="19" width="2.28515625" style="314" customWidth="1"/>
    <col min="20" max="20" width="0.85546875" style="314" customWidth="1"/>
    <col min="21" max="21" width="2.28515625" style="314" customWidth="1"/>
    <col min="22" max="22" width="0.85546875" style="314" customWidth="1"/>
    <col min="23" max="23" width="2.28515625" style="314" customWidth="1"/>
    <col min="24" max="24" width="0.85546875" style="314" customWidth="1"/>
    <col min="25" max="25" width="2.28515625" style="314" customWidth="1"/>
    <col min="26" max="26" width="0.7109375" style="314" customWidth="1"/>
    <col min="27" max="28" width="2.28515625" style="314" customWidth="1"/>
    <col min="29" max="29" width="3.7109375" style="314" customWidth="1"/>
    <col min="30" max="30" width="3" style="314" customWidth="1"/>
    <col min="31" max="31" width="2.28515625" style="314" customWidth="1"/>
    <col min="32" max="32" width="0.85546875" style="314" customWidth="1"/>
    <col min="33" max="33" width="2.28515625" style="314" customWidth="1"/>
    <col min="34" max="34" width="0.85546875" style="314" customWidth="1"/>
    <col min="35" max="35" width="2.28515625" style="314" customWidth="1"/>
    <col min="36" max="36" width="0.85546875" style="314" customWidth="1"/>
    <col min="37" max="37" width="2.28515625" style="314" customWidth="1"/>
    <col min="38" max="38" width="0.85546875" style="314" customWidth="1"/>
    <col min="39" max="39" width="2.28515625" style="314" customWidth="1"/>
    <col min="40" max="40" width="0.85546875" style="314" customWidth="1"/>
    <col min="41" max="42" width="2.28515625" style="314" customWidth="1"/>
    <col min="43" max="43" width="2.140625" style="314" customWidth="1"/>
    <col min="44" max="44" width="2.85546875" style="314" customWidth="1"/>
    <col min="45" max="46" width="2.7109375" style="314" customWidth="1"/>
    <col min="47" max="49" width="2.5703125" style="314" customWidth="1"/>
    <col min="50" max="50" width="2.7109375" style="314" customWidth="1"/>
    <col min="51" max="52" width="2.5703125" style="314" customWidth="1"/>
    <col min="53" max="54" width="2.7109375" style="314" customWidth="1"/>
    <col min="55" max="59" width="2.5703125" style="314" customWidth="1"/>
    <col min="60" max="60" width="9.28515625" style="314" customWidth="1"/>
    <col min="61" max="64" width="9.28515625" style="651" customWidth="1"/>
    <col min="65" max="65" width="4.7109375" style="651" customWidth="1"/>
    <col min="66" max="70" width="4.7109375" style="651" hidden="1" customWidth="1"/>
    <col min="71" max="79" width="4.7109375" style="546" hidden="1" customWidth="1"/>
    <col min="80" max="133" width="9.140625" style="546"/>
    <col min="134" max="16384" width="9.140625" style="314"/>
  </cols>
  <sheetData>
    <row r="1" spans="1:133" ht="33" customHeight="1">
      <c r="A1" s="534"/>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2061" t="s">
        <v>3055</v>
      </c>
      <c r="AD1" s="2062"/>
      <c r="AE1" s="2062"/>
      <c r="AF1" s="2062"/>
      <c r="AG1" s="2062"/>
      <c r="AH1" s="2062"/>
      <c r="AI1" s="2062"/>
      <c r="AJ1" s="2062"/>
      <c r="AK1" s="2062"/>
      <c r="AL1" s="2062"/>
      <c r="AM1" s="2062"/>
      <c r="AN1" s="2062"/>
      <c r="AO1" s="2062"/>
      <c r="AP1" s="2063"/>
      <c r="AQ1" s="534"/>
      <c r="AR1" s="534"/>
      <c r="AS1" s="648"/>
      <c r="AT1" s="2064" t="s">
        <v>3056</v>
      </c>
      <c r="AU1" s="2065"/>
      <c r="AV1" s="2065"/>
      <c r="AW1" s="2065"/>
      <c r="AX1" s="2065"/>
      <c r="AY1" s="2065"/>
      <c r="AZ1" s="2065"/>
      <c r="BA1" s="2065"/>
      <c r="BB1" s="2065"/>
      <c r="BC1" s="2065"/>
      <c r="BD1" s="2065"/>
      <c r="BE1" s="2065"/>
      <c r="BF1" s="2065"/>
      <c r="BG1" s="2066"/>
      <c r="BH1" s="649"/>
      <c r="BI1" s="2073" t="s">
        <v>3057</v>
      </c>
      <c r="BJ1" s="2074"/>
      <c r="BK1" s="2074"/>
      <c r="BL1" s="649"/>
    </row>
    <row r="2" spans="1:133" ht="18" customHeight="1">
      <c r="A2" s="534"/>
      <c r="B2" s="534"/>
      <c r="C2" s="534"/>
      <c r="D2" s="534"/>
      <c r="E2" s="534"/>
      <c r="F2" s="534"/>
      <c r="G2" s="534"/>
      <c r="H2" s="534"/>
      <c r="I2" s="534"/>
      <c r="J2" s="534"/>
      <c r="K2" s="534"/>
      <c r="L2" s="534"/>
      <c r="M2" s="534"/>
      <c r="N2" s="534"/>
      <c r="O2" s="534"/>
      <c r="P2" s="534"/>
      <c r="Q2" s="534"/>
      <c r="R2" s="534"/>
      <c r="S2" s="534"/>
      <c r="T2" s="534"/>
      <c r="U2" s="534"/>
      <c r="V2" s="534"/>
      <c r="W2" s="534"/>
      <c r="X2" s="534"/>
      <c r="Y2" s="534"/>
      <c r="Z2" s="652"/>
      <c r="AA2" s="652"/>
      <c r="AB2" s="534"/>
      <c r="AC2" s="2075" t="s">
        <v>3058</v>
      </c>
      <c r="AD2" s="2076"/>
      <c r="AE2" s="2076"/>
      <c r="AF2" s="2076"/>
      <c r="AG2" s="2076"/>
      <c r="AH2" s="2076"/>
      <c r="AI2" s="2076"/>
      <c r="AJ2" s="2076"/>
      <c r="AK2" s="2076"/>
      <c r="AL2" s="2076"/>
      <c r="AM2" s="2076"/>
      <c r="AN2" s="2076"/>
      <c r="AO2" s="2076"/>
      <c r="AP2" s="2077"/>
      <c r="AQ2" s="534"/>
      <c r="AR2" s="653"/>
      <c r="AS2" s="648"/>
      <c r="AT2" s="2067"/>
      <c r="AU2" s="2068"/>
      <c r="AV2" s="2068"/>
      <c r="AW2" s="2068"/>
      <c r="AX2" s="2068"/>
      <c r="AY2" s="2068"/>
      <c r="AZ2" s="2068"/>
      <c r="BA2" s="2068"/>
      <c r="BB2" s="2068"/>
      <c r="BC2" s="2068"/>
      <c r="BD2" s="2068"/>
      <c r="BE2" s="2068"/>
      <c r="BF2" s="2068"/>
      <c r="BG2" s="2069"/>
      <c r="BH2" s="649"/>
      <c r="BI2" s="650" t="s">
        <v>3059</v>
      </c>
      <c r="BJ2" s="650"/>
      <c r="BK2" s="650" t="s">
        <v>3060</v>
      </c>
      <c r="BL2" s="649"/>
    </row>
    <row r="3" spans="1:133" ht="14.25" customHeight="1">
      <c r="A3" s="534"/>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2078" t="s">
        <v>3061</v>
      </c>
      <c r="AD3" s="2079"/>
      <c r="AE3" s="2079"/>
      <c r="AF3" s="2079"/>
      <c r="AG3" s="2079"/>
      <c r="AH3" s="2079"/>
      <c r="AI3" s="2079"/>
      <c r="AJ3" s="2079"/>
      <c r="AK3" s="2079"/>
      <c r="AL3" s="2079"/>
      <c r="AM3" s="2079"/>
      <c r="AN3" s="2079"/>
      <c r="AO3" s="2079"/>
      <c r="AP3" s="2080"/>
      <c r="AQ3" s="534"/>
      <c r="AR3" s="534"/>
      <c r="AS3" s="648"/>
      <c r="AT3" s="2067"/>
      <c r="AU3" s="2068"/>
      <c r="AV3" s="2068"/>
      <c r="AW3" s="2068"/>
      <c r="AX3" s="2068"/>
      <c r="AY3" s="2068"/>
      <c r="AZ3" s="2068"/>
      <c r="BA3" s="2068"/>
      <c r="BB3" s="2068"/>
      <c r="BC3" s="2068"/>
      <c r="BD3" s="2068"/>
      <c r="BE3" s="2068"/>
      <c r="BF3" s="2068"/>
      <c r="BG3" s="2069"/>
      <c r="BH3" s="649"/>
      <c r="BI3" s="654" t="s">
        <v>234</v>
      </c>
      <c r="BJ3" s="649"/>
      <c r="BK3" s="654"/>
      <c r="BL3" s="649"/>
    </row>
    <row r="4" spans="1:133" ht="21.95" customHeight="1">
      <c r="A4" s="2051" t="s">
        <v>3062</v>
      </c>
      <c r="B4" s="2081"/>
      <c r="C4" s="2081"/>
      <c r="D4" s="2081"/>
      <c r="E4" s="2081"/>
      <c r="F4" s="2081"/>
      <c r="G4" s="2081"/>
      <c r="H4" s="2081"/>
      <c r="I4" s="2081"/>
      <c r="J4" s="2081"/>
      <c r="K4" s="2081"/>
      <c r="L4" s="2081"/>
      <c r="M4" s="2081"/>
      <c r="N4" s="2081"/>
      <c r="O4" s="2081"/>
      <c r="P4" s="2081"/>
      <c r="Q4" s="2081"/>
      <c r="R4" s="2081"/>
      <c r="S4" s="2081"/>
      <c r="T4" s="2081"/>
      <c r="U4" s="2081"/>
      <c r="V4" s="2081"/>
      <c r="W4" s="2081"/>
      <c r="X4" s="2081"/>
      <c r="Y4" s="2082"/>
      <c r="Z4" s="2082"/>
      <c r="AA4" s="2082"/>
      <c r="AB4" s="2082"/>
      <c r="AC4" s="2083">
        <v>2025</v>
      </c>
      <c r="AD4" s="2084"/>
      <c r="AE4" s="2084"/>
      <c r="AF4" s="2084"/>
      <c r="AG4" s="2084"/>
      <c r="AH4" s="2084"/>
      <c r="AI4" s="2084"/>
      <c r="AJ4" s="2084"/>
      <c r="AK4" s="2084"/>
      <c r="AL4" s="2084"/>
      <c r="AM4" s="2084"/>
      <c r="AN4" s="2084"/>
      <c r="AO4" s="2084"/>
      <c r="AP4" s="2085"/>
      <c r="AQ4" s="534"/>
      <c r="AR4" s="534"/>
      <c r="AS4" s="648"/>
      <c r="AT4" s="2067"/>
      <c r="AU4" s="2068"/>
      <c r="AV4" s="2068"/>
      <c r="AW4" s="2068"/>
      <c r="AX4" s="2068"/>
      <c r="AY4" s="2068"/>
      <c r="AZ4" s="2068"/>
      <c r="BA4" s="2068"/>
      <c r="BB4" s="2068"/>
      <c r="BC4" s="2068"/>
      <c r="BD4" s="2068"/>
      <c r="BE4" s="2068"/>
      <c r="BF4" s="2068"/>
      <c r="BG4" s="2069"/>
      <c r="BH4" s="649"/>
      <c r="BI4" s="649"/>
      <c r="BJ4" s="649"/>
      <c r="BK4" s="649"/>
      <c r="BL4" s="649"/>
    </row>
    <row r="5" spans="1:133" ht="12" customHeight="1">
      <c r="A5" s="2086" t="s">
        <v>3063</v>
      </c>
      <c r="B5" s="2086"/>
      <c r="C5" s="2086"/>
      <c r="D5" s="2086"/>
      <c r="E5" s="2086"/>
      <c r="F5" s="2086"/>
      <c r="G5" s="2086"/>
      <c r="H5" s="2086"/>
      <c r="I5" s="2086"/>
      <c r="J5" s="2086"/>
      <c r="K5" s="2086"/>
      <c r="L5" s="2086"/>
      <c r="M5" s="2086"/>
      <c r="N5" s="2086"/>
      <c r="O5" s="2086"/>
      <c r="P5" s="2086"/>
      <c r="Q5" s="2086"/>
      <c r="R5" s="2086"/>
      <c r="S5" s="2086"/>
      <c r="T5" s="2086"/>
      <c r="U5" s="2086"/>
      <c r="V5" s="2086"/>
      <c r="W5" s="2086"/>
      <c r="X5" s="2086"/>
      <c r="Y5" s="2086"/>
      <c r="Z5" s="2086"/>
      <c r="AA5" s="2086"/>
      <c r="AB5" s="2086"/>
      <c r="AC5" s="2086"/>
      <c r="AD5" s="655"/>
      <c r="AE5" s="2087"/>
      <c r="AF5" s="2087"/>
      <c r="AG5" s="1525"/>
      <c r="AH5" s="1525"/>
      <c r="AI5" s="1525"/>
      <c r="AJ5" s="1525"/>
      <c r="AK5" s="1525"/>
      <c r="AL5" s="1525"/>
      <c r="AM5" s="1525"/>
      <c r="AN5" s="1525"/>
      <c r="AO5" s="1525"/>
      <c r="AP5" s="1525"/>
      <c r="AQ5" s="534"/>
      <c r="AR5" s="534"/>
      <c r="AS5" s="648"/>
      <c r="AT5" s="2067"/>
      <c r="AU5" s="2068"/>
      <c r="AV5" s="2068"/>
      <c r="AW5" s="2068"/>
      <c r="AX5" s="2068"/>
      <c r="AY5" s="2068"/>
      <c r="AZ5" s="2068"/>
      <c r="BA5" s="2068"/>
      <c r="BB5" s="2068"/>
      <c r="BC5" s="2068"/>
      <c r="BD5" s="2068"/>
      <c r="BE5" s="2068"/>
      <c r="BF5" s="2068"/>
      <c r="BG5" s="2069"/>
      <c r="BH5" s="651"/>
    </row>
    <row r="6" spans="1:133" ht="12" customHeight="1">
      <c r="A6" s="2086"/>
      <c r="B6" s="2086"/>
      <c r="C6" s="2086"/>
      <c r="D6" s="2086"/>
      <c r="E6" s="2086"/>
      <c r="F6" s="2086"/>
      <c r="G6" s="2086"/>
      <c r="H6" s="2086"/>
      <c r="I6" s="2086"/>
      <c r="J6" s="2086"/>
      <c r="K6" s="2086"/>
      <c r="L6" s="2086"/>
      <c r="M6" s="2086"/>
      <c r="N6" s="2086"/>
      <c r="O6" s="2086"/>
      <c r="P6" s="2086"/>
      <c r="Q6" s="2086"/>
      <c r="R6" s="2086"/>
      <c r="S6" s="2086"/>
      <c r="T6" s="2086"/>
      <c r="U6" s="2086"/>
      <c r="V6" s="2086"/>
      <c r="W6" s="2086"/>
      <c r="X6" s="2086"/>
      <c r="Y6" s="2086"/>
      <c r="Z6" s="2086"/>
      <c r="AA6" s="2086"/>
      <c r="AB6" s="2086"/>
      <c r="AC6" s="2086"/>
      <c r="AD6" s="655"/>
      <c r="AE6" s="534"/>
      <c r="AF6" s="534"/>
      <c r="AG6" s="2051" t="s">
        <v>3064</v>
      </c>
      <c r="AH6" s="2051"/>
      <c r="AI6" s="2051"/>
      <c r="AJ6" s="2051"/>
      <c r="AK6" s="2051"/>
      <c r="AL6" s="2051"/>
      <c r="AM6" s="2051"/>
      <c r="AN6" s="2051"/>
      <c r="AO6" s="2051"/>
      <c r="AP6" s="534"/>
      <c r="AQ6" s="534"/>
      <c r="AR6" s="534"/>
      <c r="AS6" s="534"/>
      <c r="AT6" s="2067"/>
      <c r="AU6" s="2068"/>
      <c r="AV6" s="2068"/>
      <c r="AW6" s="2068"/>
      <c r="AX6" s="2068"/>
      <c r="AY6" s="2068"/>
      <c r="AZ6" s="2068"/>
      <c r="BA6" s="2068"/>
      <c r="BB6" s="2068"/>
      <c r="BC6" s="2068"/>
      <c r="BD6" s="2068"/>
      <c r="BE6" s="2068"/>
      <c r="BF6" s="2068"/>
      <c r="BG6" s="2069"/>
      <c r="BH6" s="651"/>
    </row>
    <row r="7" spans="1:133" ht="9" customHeight="1">
      <c r="A7" s="2052" t="s">
        <v>3065</v>
      </c>
      <c r="B7" s="2053"/>
      <c r="C7" s="2053"/>
      <c r="D7" s="2053"/>
      <c r="E7" s="2053"/>
      <c r="F7" s="2053"/>
      <c r="G7" s="2053"/>
      <c r="H7" s="2053"/>
      <c r="I7" s="2053"/>
      <c r="J7" s="2053"/>
      <c r="K7" s="2053"/>
      <c r="L7" s="2053"/>
      <c r="M7" s="2053"/>
      <c r="N7" s="2053"/>
      <c r="O7" s="2053"/>
      <c r="P7" s="2053"/>
      <c r="Q7" s="2053"/>
      <c r="R7" s="2053"/>
      <c r="S7" s="2053"/>
      <c r="T7" s="2053"/>
      <c r="U7" s="2053"/>
      <c r="V7" s="2053"/>
      <c r="W7" s="2053"/>
      <c r="X7" s="2053"/>
      <c r="Y7" s="2053"/>
      <c r="Z7" s="2053"/>
      <c r="AA7" s="2053"/>
      <c r="AB7" s="2053"/>
      <c r="AC7" s="2054" t="s">
        <v>304</v>
      </c>
      <c r="AD7" s="1525"/>
      <c r="AE7" s="1525"/>
      <c r="AF7" s="2055"/>
      <c r="AG7" s="656" t="s">
        <v>234</v>
      </c>
      <c r="AH7" s="2056" t="s">
        <v>305</v>
      </c>
      <c r="AI7" s="2057"/>
      <c r="AJ7" s="2057"/>
      <c r="AK7" s="2057"/>
      <c r="AL7" s="2058"/>
      <c r="AM7" s="656"/>
      <c r="AN7" s="657"/>
      <c r="AO7" s="2059"/>
      <c r="AP7" s="1525"/>
      <c r="AQ7" s="1525"/>
      <c r="AR7" s="1525"/>
      <c r="AS7" s="2055"/>
      <c r="AT7" s="2070"/>
      <c r="AU7" s="2071"/>
      <c r="AV7" s="2071"/>
      <c r="AW7" s="2071"/>
      <c r="AX7" s="2071"/>
      <c r="AY7" s="2071"/>
      <c r="AZ7" s="2071"/>
      <c r="BA7" s="2071"/>
      <c r="BB7" s="2071"/>
      <c r="BC7" s="2071"/>
      <c r="BD7" s="2071"/>
      <c r="BE7" s="2071"/>
      <c r="BF7" s="2071"/>
      <c r="BG7" s="2072"/>
      <c r="BH7" s="651"/>
    </row>
    <row r="8" spans="1:133">
      <c r="A8" s="2060" t="s">
        <v>3066</v>
      </c>
      <c r="B8" s="2060"/>
      <c r="C8" s="2060"/>
      <c r="D8" s="2060"/>
      <c r="E8" s="2060"/>
      <c r="F8" s="2060"/>
      <c r="G8" s="2060"/>
      <c r="H8" s="2060"/>
      <c r="I8" s="2060"/>
      <c r="J8" s="2060"/>
      <c r="K8" s="2060"/>
      <c r="L8" s="2060"/>
      <c r="M8" s="2060"/>
      <c r="N8" s="2060"/>
      <c r="O8" s="2060"/>
      <c r="P8" s="2060"/>
      <c r="Q8" s="2060"/>
      <c r="R8" s="2060"/>
      <c r="S8" s="2060"/>
      <c r="T8" s="2060"/>
      <c r="U8" s="2060"/>
      <c r="V8" s="2060"/>
      <c r="W8" s="2060"/>
      <c r="X8" s="2060"/>
      <c r="Y8" s="2060"/>
      <c r="Z8" s="2060"/>
      <c r="AA8" s="2060"/>
      <c r="AB8" s="2060"/>
      <c r="AC8" s="2060"/>
      <c r="AD8" s="2060"/>
      <c r="AE8" s="2060"/>
      <c r="AF8" s="2060"/>
      <c r="AG8" s="2060"/>
      <c r="AH8" s="2060"/>
      <c r="AI8" s="2060"/>
      <c r="AJ8" s="2060"/>
      <c r="AK8" s="2060"/>
      <c r="AL8" s="2060"/>
      <c r="AM8" s="2060"/>
      <c r="AN8" s="2060"/>
      <c r="AO8" s="2060"/>
      <c r="AP8" s="2060"/>
      <c r="AQ8" s="2060"/>
      <c r="AR8" s="2060"/>
      <c r="AS8" s="2060"/>
      <c r="AT8" s="2060"/>
      <c r="AU8" s="2060"/>
      <c r="AV8" s="2060"/>
      <c r="AW8" s="2060"/>
      <c r="AX8" s="2060"/>
      <c r="AY8" s="2060"/>
      <c r="AZ8" s="2060"/>
      <c r="BA8" s="2060"/>
      <c r="BB8" s="2060"/>
      <c r="BC8" s="2060"/>
      <c r="BD8" s="2060"/>
      <c r="BE8" s="2060"/>
      <c r="BF8" s="2060"/>
      <c r="BG8" s="2060"/>
      <c r="BH8" s="651"/>
    </row>
    <row r="9" spans="1:133" ht="15" customHeight="1">
      <c r="A9" s="2101" t="s">
        <v>3067</v>
      </c>
      <c r="B9" s="2102"/>
      <c r="C9" s="2102"/>
      <c r="D9" s="2102"/>
      <c r="E9" s="2102"/>
      <c r="F9" s="2102"/>
      <c r="G9" s="2102"/>
      <c r="H9" s="2102"/>
      <c r="I9" s="2102"/>
      <c r="J9" s="2102"/>
      <c r="K9" s="2102"/>
      <c r="L9" s="2102"/>
      <c r="M9" s="2102"/>
      <c r="N9" s="2102"/>
      <c r="O9" s="2102"/>
      <c r="P9" s="2102"/>
      <c r="Q9" s="2102"/>
      <c r="R9" s="2102"/>
      <c r="S9" s="2102"/>
      <c r="T9" s="2102"/>
      <c r="U9" s="2102"/>
      <c r="V9" s="2102"/>
      <c r="W9" s="2102"/>
      <c r="X9" s="2102"/>
      <c r="Y9" s="2102"/>
      <c r="Z9" s="2102"/>
      <c r="AA9" s="2102"/>
      <c r="AB9" s="2102"/>
      <c r="AC9" s="2102"/>
      <c r="AD9" s="2102"/>
      <c r="AE9" s="2102"/>
      <c r="AF9" s="2102"/>
      <c r="AG9" s="2102"/>
      <c r="AH9" s="2102"/>
      <c r="AI9" s="2102"/>
      <c r="AJ9" s="2102"/>
      <c r="AK9" s="2102"/>
      <c r="AL9" s="2102"/>
      <c r="AM9" s="2102"/>
      <c r="AN9" s="2102"/>
      <c r="AO9" s="2102"/>
      <c r="AP9" s="2102"/>
      <c r="AQ9" s="2102"/>
      <c r="AR9" s="2102"/>
      <c r="AS9" s="2102"/>
      <c r="AT9" s="2102"/>
      <c r="AU9" s="2102"/>
      <c r="AV9" s="2102"/>
      <c r="AW9" s="2102"/>
      <c r="AX9" s="2102"/>
      <c r="AY9" s="2102"/>
      <c r="AZ9" s="2102"/>
      <c r="BA9" s="2102"/>
      <c r="BB9" s="2102"/>
      <c r="BC9" s="2102"/>
      <c r="BD9" s="2102"/>
      <c r="BE9" s="2102"/>
      <c r="BF9" s="2102"/>
      <c r="BG9" s="2103"/>
      <c r="BH9" s="651"/>
    </row>
    <row r="10" spans="1:133" s="664" customFormat="1" ht="9.9499999999999993" customHeight="1">
      <c r="A10" s="2104" t="s">
        <v>88</v>
      </c>
      <c r="B10" s="2091"/>
      <c r="C10" s="2091"/>
      <c r="D10" s="2091"/>
      <c r="E10" s="2091"/>
      <c r="F10" s="2091"/>
      <c r="G10" s="2091"/>
      <c r="H10" s="2091"/>
      <c r="I10" s="2091"/>
      <c r="J10" s="2091"/>
      <c r="K10" s="2091"/>
      <c r="L10" s="2091"/>
      <c r="M10" s="2091"/>
      <c r="N10" s="2091"/>
      <c r="O10" s="2091"/>
      <c r="P10" s="2091"/>
      <c r="Q10" s="2091"/>
      <c r="R10" s="2091"/>
      <c r="S10" s="2091"/>
      <c r="T10" s="2091"/>
      <c r="U10" s="2091"/>
      <c r="V10" s="2091"/>
      <c r="W10" s="2091"/>
      <c r="X10" s="2091"/>
      <c r="Y10" s="2091"/>
      <c r="Z10" s="2091"/>
      <c r="AA10" s="2091"/>
      <c r="AB10" s="2091"/>
      <c r="AC10" s="2091"/>
      <c r="AD10" s="2091"/>
      <c r="AE10" s="2091"/>
      <c r="AF10" s="2091"/>
      <c r="AG10" s="2091"/>
      <c r="AH10" s="2091"/>
      <c r="AI10" s="2091"/>
      <c r="AJ10" s="2091"/>
      <c r="AK10" s="660"/>
      <c r="AL10" s="2090" t="s">
        <v>87</v>
      </c>
      <c r="AM10" s="2091"/>
      <c r="AN10" s="2091"/>
      <c r="AO10" s="2091"/>
      <c r="AP10" s="2091"/>
      <c r="AQ10" s="2091"/>
      <c r="AR10" s="2091"/>
      <c r="AS10" s="2091"/>
      <c r="AT10" s="2091"/>
      <c r="AU10" s="2091"/>
      <c r="AV10" s="2091"/>
      <c r="AW10" s="2091"/>
      <c r="AX10" s="2091"/>
      <c r="AY10" s="2091"/>
      <c r="AZ10" s="2091"/>
      <c r="BA10" s="2091"/>
      <c r="BB10" s="661"/>
      <c r="BC10" s="2089" t="s">
        <v>106</v>
      </c>
      <c r="BD10" s="2089"/>
      <c r="BE10" s="2089"/>
      <c r="BF10" s="2089"/>
      <c r="BG10" s="2105"/>
      <c r="BH10" s="651"/>
      <c r="BI10" s="662"/>
      <c r="BJ10" s="662"/>
      <c r="BK10" s="662"/>
      <c r="BL10" s="662"/>
      <c r="BM10" s="662"/>
      <c r="BN10" s="662"/>
      <c r="BO10" s="662"/>
      <c r="BP10" s="662"/>
      <c r="BQ10" s="662"/>
      <c r="BR10" s="662"/>
      <c r="BS10" s="663"/>
      <c r="BT10" s="663"/>
      <c r="BU10" s="663"/>
      <c r="BV10" s="663"/>
      <c r="BW10" s="663"/>
      <c r="BX10" s="663"/>
      <c r="BY10" s="663"/>
      <c r="BZ10" s="663"/>
      <c r="CA10" s="663"/>
      <c r="CB10" s="663"/>
      <c r="CC10" s="663"/>
      <c r="CD10" s="663"/>
      <c r="CE10" s="663"/>
      <c r="CF10" s="663"/>
      <c r="CG10" s="663"/>
      <c r="CH10" s="663"/>
      <c r="CI10" s="663"/>
      <c r="CJ10" s="663"/>
      <c r="CK10" s="663"/>
      <c r="CL10" s="663"/>
      <c r="CM10" s="663"/>
      <c r="CN10" s="663"/>
      <c r="CO10" s="663"/>
      <c r="CP10" s="663"/>
      <c r="CQ10" s="663"/>
      <c r="CR10" s="663"/>
      <c r="CS10" s="663"/>
      <c r="CT10" s="663"/>
      <c r="CU10" s="663"/>
      <c r="CV10" s="663"/>
      <c r="CW10" s="663"/>
      <c r="CX10" s="663"/>
      <c r="CY10" s="663"/>
      <c r="CZ10" s="663"/>
      <c r="DA10" s="663"/>
      <c r="DB10" s="663"/>
      <c r="DC10" s="663"/>
      <c r="DD10" s="663"/>
      <c r="DE10" s="663"/>
      <c r="DF10" s="663"/>
      <c r="DG10" s="663"/>
      <c r="DH10" s="663"/>
      <c r="DI10" s="663"/>
      <c r="DJ10" s="663"/>
      <c r="DK10" s="663"/>
      <c r="DL10" s="663"/>
      <c r="DM10" s="663"/>
      <c r="DN10" s="663"/>
      <c r="DO10" s="663"/>
      <c r="DP10" s="663"/>
      <c r="DQ10" s="663"/>
      <c r="DR10" s="663"/>
      <c r="DS10" s="663"/>
      <c r="DT10" s="663"/>
      <c r="DU10" s="663"/>
      <c r="DV10" s="663"/>
      <c r="DW10" s="663"/>
      <c r="DX10" s="663"/>
      <c r="DY10" s="663"/>
      <c r="DZ10" s="663"/>
      <c r="EA10" s="663"/>
      <c r="EB10" s="663"/>
      <c r="EC10" s="663"/>
    </row>
    <row r="11" spans="1:133" s="536" customFormat="1" ht="24" customHeight="1">
      <c r="A11" s="2095" t="str">
        <f>+CONCATENATE(ZAKL_DATA!B5)</f>
        <v/>
      </c>
      <c r="B11" s="2091"/>
      <c r="C11" s="2091"/>
      <c r="D11" s="2091"/>
      <c r="E11" s="2091"/>
      <c r="F11" s="2091"/>
      <c r="G11" s="2091"/>
      <c r="H11" s="2091"/>
      <c r="I11" s="2091"/>
      <c r="J11" s="2091"/>
      <c r="K11" s="2091"/>
      <c r="L11" s="2091"/>
      <c r="M11" s="2091"/>
      <c r="N11" s="2091"/>
      <c r="O11" s="2091"/>
      <c r="P11" s="2091"/>
      <c r="Q11" s="2091"/>
      <c r="R11" s="2091"/>
      <c r="S11" s="2091"/>
      <c r="T11" s="2091"/>
      <c r="U11" s="2091"/>
      <c r="V11" s="2091"/>
      <c r="W11" s="2091"/>
      <c r="X11" s="2091"/>
      <c r="Y11" s="2091"/>
      <c r="Z11" s="2091"/>
      <c r="AA11" s="2091"/>
      <c r="AB11" s="2091"/>
      <c r="AC11" s="2091"/>
      <c r="AD11" s="2091"/>
      <c r="AE11" s="2091"/>
      <c r="AF11" s="2091"/>
      <c r="AG11" s="2091"/>
      <c r="AH11" s="2091"/>
      <c r="AI11" s="2091"/>
      <c r="AJ11" s="2096"/>
      <c r="AK11" s="665"/>
      <c r="AL11" s="2095" t="str">
        <f>+CONCATENATE(+ZAKL_DATA!B4)</f>
        <v/>
      </c>
      <c r="AM11" s="2091"/>
      <c r="AN11" s="2091"/>
      <c r="AO11" s="2091"/>
      <c r="AP11" s="2091"/>
      <c r="AQ11" s="2091"/>
      <c r="AR11" s="2091"/>
      <c r="AS11" s="2091"/>
      <c r="AT11" s="2091"/>
      <c r="AU11" s="2091"/>
      <c r="AV11" s="2091"/>
      <c r="AW11" s="2091"/>
      <c r="AX11" s="2091"/>
      <c r="AY11" s="2091"/>
      <c r="AZ11" s="2091"/>
      <c r="BA11" s="2096"/>
      <c r="BB11" s="665"/>
      <c r="BC11" s="2106" t="str">
        <f>+CONCATENATE(+ZAKL_DATA!B7)</f>
        <v/>
      </c>
      <c r="BD11" s="2107"/>
      <c r="BE11" s="2107"/>
      <c r="BF11" s="2107"/>
      <c r="BG11" s="2108"/>
      <c r="BH11" s="651"/>
      <c r="BI11" s="666"/>
      <c r="BJ11" s="666"/>
      <c r="BK11" s="666"/>
      <c r="BL11" s="666"/>
      <c r="BM11" s="666"/>
      <c r="BN11" s="666"/>
      <c r="BO11" s="666"/>
      <c r="BP11" s="666"/>
      <c r="BQ11" s="666"/>
      <c r="BR11" s="666"/>
      <c r="BS11" s="667"/>
      <c r="BT11" s="667"/>
      <c r="BU11" s="667"/>
      <c r="BV11" s="667"/>
      <c r="BW11" s="667"/>
      <c r="BX11" s="667"/>
      <c r="BY11" s="667"/>
      <c r="BZ11" s="667"/>
      <c r="CA11" s="667"/>
      <c r="CB11" s="667"/>
      <c r="CC11" s="667"/>
      <c r="CD11" s="667"/>
      <c r="CE11" s="667"/>
      <c r="CF11" s="667"/>
      <c r="CG11" s="667"/>
      <c r="CH11" s="667"/>
      <c r="CI11" s="667"/>
      <c r="CJ11" s="667"/>
      <c r="CK11" s="667"/>
      <c r="CL11" s="667"/>
      <c r="CM11" s="667"/>
      <c r="CN11" s="667"/>
      <c r="CO11" s="667"/>
      <c r="CP11" s="667"/>
      <c r="CQ11" s="667"/>
      <c r="CR11" s="667"/>
      <c r="CS11" s="667"/>
      <c r="CT11" s="667"/>
      <c r="CU11" s="667"/>
      <c r="CV11" s="667"/>
      <c r="CW11" s="667"/>
      <c r="CX11" s="667"/>
      <c r="CY11" s="667"/>
      <c r="CZ11" s="667"/>
      <c r="DA11" s="667"/>
      <c r="DB11" s="667"/>
      <c r="DC11" s="667"/>
      <c r="DD11" s="667"/>
      <c r="DE11" s="667"/>
      <c r="DF11" s="667"/>
      <c r="DG11" s="667"/>
      <c r="DH11" s="667"/>
      <c r="DI11" s="667"/>
      <c r="DJ11" s="667"/>
      <c r="DK11" s="667"/>
      <c r="DL11" s="667"/>
      <c r="DM11" s="667"/>
      <c r="DN11" s="667"/>
      <c r="DO11" s="667"/>
      <c r="DP11" s="667"/>
      <c r="DQ11" s="667"/>
      <c r="DR11" s="667"/>
      <c r="DS11" s="667"/>
      <c r="DT11" s="667"/>
      <c r="DU11" s="667"/>
      <c r="DV11" s="667"/>
      <c r="DW11" s="667"/>
      <c r="DX11" s="667"/>
      <c r="DY11" s="667"/>
      <c r="DZ11" s="667"/>
      <c r="EA11" s="667"/>
      <c r="EB11" s="667"/>
      <c r="EC11" s="667"/>
    </row>
    <row r="12" spans="1:133" s="664" customFormat="1" ht="9.9499999999999993" customHeight="1">
      <c r="A12" s="2088" t="s">
        <v>247</v>
      </c>
      <c r="B12" s="2089"/>
      <c r="C12" s="2089"/>
      <c r="D12" s="2089"/>
      <c r="E12" s="2089"/>
      <c r="F12" s="2089"/>
      <c r="G12" s="2089"/>
      <c r="H12" s="2089"/>
      <c r="I12" s="2089"/>
      <c r="J12" s="2089"/>
      <c r="K12" s="2089"/>
      <c r="L12" s="2089"/>
      <c r="M12" s="2089"/>
      <c r="N12" s="2089"/>
      <c r="O12" s="2089"/>
      <c r="P12" s="2089"/>
      <c r="Q12" s="2089"/>
      <c r="R12" s="2089"/>
      <c r="S12" s="2089"/>
      <c r="T12" s="2089"/>
      <c r="U12" s="2089"/>
      <c r="V12" s="2089"/>
      <c r="W12" s="2089"/>
      <c r="X12" s="2089"/>
      <c r="Y12" s="2089"/>
      <c r="Z12" s="2089"/>
      <c r="AA12" s="2089"/>
      <c r="AB12" s="2089"/>
      <c r="AC12" s="2089"/>
      <c r="AD12" s="2089"/>
      <c r="AE12" s="2089"/>
      <c r="AF12" s="2089"/>
      <c r="AG12" s="2089"/>
      <c r="AH12" s="2089"/>
      <c r="AI12" s="2089"/>
      <c r="AJ12" s="2089"/>
      <c r="AK12" s="2089"/>
      <c r="AL12" s="2090" t="s">
        <v>3068</v>
      </c>
      <c r="AM12" s="2091"/>
      <c r="AN12" s="2091"/>
      <c r="AO12" s="2091"/>
      <c r="AP12" s="2091"/>
      <c r="AQ12" s="2091"/>
      <c r="AR12" s="2091"/>
      <c r="AS12" s="2091"/>
      <c r="AT12" s="2091"/>
      <c r="AU12" s="2091"/>
      <c r="AV12" s="668"/>
      <c r="AW12" s="2092" t="s">
        <v>3069</v>
      </c>
      <c r="AX12" s="2093"/>
      <c r="AY12" s="2093"/>
      <c r="AZ12" s="2093"/>
      <c r="BA12" s="2093"/>
      <c r="BB12" s="2093"/>
      <c r="BC12" s="2093"/>
      <c r="BD12" s="2093"/>
      <c r="BE12" s="2093"/>
      <c r="BF12" s="2093"/>
      <c r="BG12" s="2094"/>
      <c r="BH12" s="651"/>
      <c r="BI12" s="662"/>
      <c r="BJ12" s="662"/>
      <c r="BK12" s="662"/>
      <c r="BL12" s="662"/>
      <c r="BM12" s="662"/>
      <c r="BN12" s="662"/>
      <c r="BO12" s="662"/>
      <c r="BP12" s="662"/>
      <c r="BQ12" s="662"/>
      <c r="BR12" s="662"/>
      <c r="BS12" s="663"/>
      <c r="BT12" s="663"/>
      <c r="BU12" s="663"/>
      <c r="BV12" s="663"/>
      <c r="BW12" s="663"/>
      <c r="BX12" s="663"/>
      <c r="BY12" s="663"/>
      <c r="BZ12" s="663"/>
      <c r="CA12" s="663"/>
      <c r="CB12" s="663"/>
      <c r="CC12" s="663"/>
      <c r="CD12" s="663"/>
      <c r="CE12" s="663"/>
      <c r="CF12" s="663"/>
      <c r="CG12" s="663"/>
      <c r="CH12" s="663"/>
      <c r="CI12" s="663"/>
      <c r="CJ12" s="663"/>
      <c r="CK12" s="663"/>
      <c r="CL12" s="663"/>
      <c r="CM12" s="663"/>
      <c r="CN12" s="663"/>
      <c r="CO12" s="663"/>
      <c r="CP12" s="663"/>
      <c r="CQ12" s="663"/>
      <c r="CR12" s="663"/>
      <c r="CS12" s="663"/>
      <c r="CT12" s="663"/>
      <c r="CU12" s="663"/>
      <c r="CV12" s="663"/>
      <c r="CW12" s="663"/>
      <c r="CX12" s="663"/>
      <c r="CY12" s="663"/>
      <c r="CZ12" s="663"/>
      <c r="DA12" s="663"/>
      <c r="DB12" s="663"/>
      <c r="DC12" s="663"/>
      <c r="DD12" s="663"/>
      <c r="DE12" s="663"/>
      <c r="DF12" s="663"/>
      <c r="DG12" s="663"/>
      <c r="DH12" s="663"/>
      <c r="DI12" s="663"/>
      <c r="DJ12" s="663"/>
      <c r="DK12" s="663"/>
      <c r="DL12" s="663"/>
      <c r="DM12" s="663"/>
      <c r="DN12" s="663"/>
      <c r="DO12" s="663"/>
      <c r="DP12" s="663"/>
      <c r="DQ12" s="663"/>
      <c r="DR12" s="663"/>
      <c r="DS12" s="663"/>
      <c r="DT12" s="663"/>
      <c r="DU12" s="663"/>
      <c r="DV12" s="663"/>
      <c r="DW12" s="663"/>
      <c r="DX12" s="663"/>
      <c r="DY12" s="663"/>
      <c r="DZ12" s="663"/>
      <c r="EA12" s="663"/>
      <c r="EB12" s="663"/>
      <c r="EC12" s="663"/>
    </row>
    <row r="13" spans="1:133" s="536" customFormat="1" ht="24" customHeight="1">
      <c r="A13" s="2095" t="str">
        <f>+CONCATENATE(ZAKL_DATA!B16)</f>
        <v/>
      </c>
      <c r="B13" s="2091"/>
      <c r="C13" s="2091"/>
      <c r="D13" s="2091"/>
      <c r="E13" s="2091"/>
      <c r="F13" s="2091"/>
      <c r="G13" s="2091"/>
      <c r="H13" s="2091"/>
      <c r="I13" s="2091"/>
      <c r="J13" s="2091"/>
      <c r="K13" s="2091"/>
      <c r="L13" s="2091"/>
      <c r="M13" s="2091"/>
      <c r="N13" s="2091"/>
      <c r="O13" s="2091"/>
      <c r="P13" s="2091"/>
      <c r="Q13" s="2091"/>
      <c r="R13" s="2091"/>
      <c r="S13" s="2091"/>
      <c r="T13" s="2091"/>
      <c r="U13" s="2091"/>
      <c r="V13" s="2091"/>
      <c r="W13" s="2091"/>
      <c r="X13" s="2091"/>
      <c r="Y13" s="2091"/>
      <c r="Z13" s="2091"/>
      <c r="AA13" s="2091"/>
      <c r="AB13" s="2091"/>
      <c r="AC13" s="2091"/>
      <c r="AD13" s="2091"/>
      <c r="AE13" s="2091"/>
      <c r="AF13" s="2091"/>
      <c r="AG13" s="2091"/>
      <c r="AH13" s="2091"/>
      <c r="AI13" s="2091"/>
      <c r="AJ13" s="2096"/>
      <c r="AK13" s="665"/>
      <c r="AL13" s="2095" t="str">
        <f>+CONCATENATE(ZAKL_DATA!B17)</f>
        <v/>
      </c>
      <c r="AM13" s="2091"/>
      <c r="AN13" s="2091"/>
      <c r="AO13" s="2091"/>
      <c r="AP13" s="2091"/>
      <c r="AQ13" s="2091"/>
      <c r="AR13" s="2091"/>
      <c r="AS13" s="2091"/>
      <c r="AT13" s="2091"/>
      <c r="AU13" s="2096"/>
      <c r="AV13" s="665"/>
      <c r="AW13" s="2097" t="str">
        <f>+CONCATENATE('DAP1'!A9)</f>
        <v/>
      </c>
      <c r="AX13" s="2098"/>
      <c r="AY13" s="2098"/>
      <c r="AZ13" s="2098"/>
      <c r="BA13" s="2098"/>
      <c r="BB13" s="2098"/>
      <c r="BC13" s="2099"/>
      <c r="BD13" s="2099"/>
      <c r="BE13" s="2099"/>
      <c r="BF13" s="2099"/>
      <c r="BG13" s="2100"/>
      <c r="BH13" s="651"/>
      <c r="BI13" s="666"/>
      <c r="BJ13" s="666"/>
      <c r="BK13" s="666"/>
      <c r="BL13" s="666"/>
      <c r="BM13" s="666"/>
      <c r="BN13" s="666"/>
      <c r="BO13" s="666"/>
      <c r="BP13" s="666"/>
      <c r="BQ13" s="666"/>
      <c r="BR13" s="666"/>
      <c r="BS13" s="666"/>
      <c r="BT13" s="666"/>
      <c r="BU13" s="666"/>
      <c r="BV13" s="666"/>
      <c r="BW13" s="666"/>
      <c r="BX13" s="666"/>
      <c r="BY13" s="666"/>
      <c r="BZ13" s="666"/>
      <c r="CA13" s="666"/>
      <c r="CB13" s="666"/>
      <c r="CC13" s="666"/>
      <c r="CD13" s="666"/>
      <c r="CE13" s="666"/>
      <c r="CF13" s="666"/>
      <c r="CG13" s="666"/>
      <c r="CH13" s="666"/>
      <c r="CI13" s="666"/>
      <c r="CJ13" s="666"/>
      <c r="CK13" s="666"/>
      <c r="CL13" s="666"/>
      <c r="CM13" s="666"/>
      <c r="CN13" s="666"/>
      <c r="CO13" s="666"/>
      <c r="CP13" s="666"/>
      <c r="CQ13" s="666"/>
      <c r="CR13" s="666"/>
      <c r="CS13" s="666"/>
      <c r="CT13" s="666"/>
      <c r="CU13" s="666"/>
      <c r="CV13" s="666"/>
      <c r="CW13" s="666"/>
      <c r="CX13" s="666"/>
      <c r="CY13" s="666"/>
      <c r="CZ13" s="666"/>
      <c r="DA13" s="666"/>
      <c r="DB13" s="666"/>
      <c r="DC13" s="666"/>
      <c r="DD13" s="666"/>
      <c r="DE13" s="666"/>
      <c r="DF13" s="666"/>
      <c r="DG13" s="666"/>
      <c r="DH13" s="666"/>
      <c r="DI13" s="666"/>
      <c r="DJ13" s="666"/>
      <c r="DK13" s="666"/>
      <c r="DL13" s="666"/>
      <c r="DM13" s="666"/>
      <c r="DN13" s="666"/>
      <c r="DO13" s="666"/>
      <c r="DP13" s="666"/>
      <c r="DQ13" s="666"/>
      <c r="DR13" s="666"/>
      <c r="DS13" s="666"/>
      <c r="DT13" s="666"/>
      <c r="DU13" s="666"/>
      <c r="DV13" s="666"/>
      <c r="DW13" s="666"/>
      <c r="DX13" s="666"/>
      <c r="DY13" s="666"/>
      <c r="DZ13" s="666"/>
      <c r="EA13" s="666"/>
      <c r="EB13" s="666"/>
      <c r="EC13" s="666"/>
    </row>
    <row r="14" spans="1:133" s="664" customFormat="1" ht="12.6" customHeight="1">
      <c r="A14" s="2120" t="s">
        <v>3070</v>
      </c>
      <c r="B14" s="2091"/>
      <c r="C14" s="2091"/>
      <c r="D14" s="2091"/>
      <c r="E14" s="2091"/>
      <c r="F14" s="2091"/>
      <c r="G14" s="2091"/>
      <c r="H14" s="2091"/>
      <c r="I14" s="669"/>
      <c r="J14" s="2121" t="s">
        <v>248</v>
      </c>
      <c r="K14" s="2122"/>
      <c r="L14" s="2122"/>
      <c r="M14" s="2122"/>
      <c r="N14" s="2122"/>
      <c r="O14" s="2122"/>
      <c r="P14" s="2122"/>
      <c r="Q14" s="2122"/>
      <c r="R14" s="2122"/>
      <c r="S14" s="2122"/>
      <c r="T14" s="2122"/>
      <c r="U14" s="2122"/>
      <c r="V14" s="2122"/>
      <c r="W14" s="2122"/>
      <c r="X14" s="2122"/>
      <c r="Y14" s="2122"/>
      <c r="Z14" s="2122"/>
      <c r="AA14" s="2122"/>
      <c r="AB14" s="2122"/>
      <c r="AC14" s="2122"/>
      <c r="AD14" s="2122"/>
      <c r="AE14" s="2122"/>
      <c r="AF14" s="2122"/>
      <c r="AG14" s="2122"/>
      <c r="AH14" s="2122"/>
      <c r="AI14" s="2122"/>
      <c r="AJ14" s="2122"/>
      <c r="AK14" s="2122"/>
      <c r="AL14" s="2122"/>
      <c r="AM14" s="2122"/>
      <c r="AN14" s="2122"/>
      <c r="AO14" s="2122"/>
      <c r="AP14" s="2122"/>
      <c r="AQ14" s="2122"/>
      <c r="AR14" s="2122"/>
      <c r="AS14" s="2122"/>
      <c r="AT14" s="2122"/>
      <c r="AU14" s="2122"/>
      <c r="AV14" s="669"/>
      <c r="AW14" s="2123" t="s">
        <v>3071</v>
      </c>
      <c r="AX14" s="2124"/>
      <c r="AY14" s="2124"/>
      <c r="AZ14" s="2124"/>
      <c r="BA14" s="2124"/>
      <c r="BB14" s="2124"/>
      <c r="BC14" s="2124"/>
      <c r="BD14" s="2124"/>
      <c r="BE14" s="2124"/>
      <c r="BF14" s="2124"/>
      <c r="BG14" s="2125"/>
      <c r="BH14" s="651"/>
      <c r="BI14" s="666"/>
      <c r="BJ14" s="666"/>
      <c r="BK14" s="666"/>
      <c r="BL14" s="666"/>
      <c r="BM14" s="666"/>
      <c r="BN14" s="666"/>
      <c r="BO14" s="666"/>
      <c r="BP14" s="666"/>
      <c r="BQ14" s="666"/>
      <c r="BR14" s="666"/>
      <c r="BS14" s="666"/>
      <c r="BT14" s="666"/>
      <c r="BU14" s="666"/>
      <c r="BV14" s="666"/>
      <c r="BW14" s="666"/>
      <c r="BX14" s="666"/>
      <c r="BY14" s="666"/>
      <c r="BZ14" s="666"/>
      <c r="CA14" s="666"/>
      <c r="CB14" s="666"/>
      <c r="CC14" s="666"/>
      <c r="CD14" s="666"/>
      <c r="CE14" s="666"/>
      <c r="CF14" s="666"/>
      <c r="CG14" s="666"/>
      <c r="CH14" s="666"/>
      <c r="CI14" s="666"/>
      <c r="CJ14" s="666"/>
      <c r="CK14" s="666"/>
      <c r="CL14" s="666"/>
      <c r="CM14" s="666"/>
      <c r="CN14" s="666"/>
      <c r="CO14" s="666"/>
      <c r="CP14" s="666"/>
      <c r="CQ14" s="666"/>
      <c r="CR14" s="666"/>
      <c r="CS14" s="666"/>
      <c r="CT14" s="666"/>
      <c r="CU14" s="666"/>
      <c r="CV14" s="666"/>
      <c r="CW14" s="666"/>
      <c r="CX14" s="666"/>
      <c r="CY14" s="666"/>
      <c r="CZ14" s="666"/>
      <c r="DA14" s="666"/>
      <c r="DB14" s="666"/>
      <c r="DC14" s="666"/>
      <c r="DD14" s="666"/>
      <c r="DE14" s="666"/>
      <c r="DF14" s="666"/>
      <c r="DG14" s="666"/>
      <c r="DH14" s="666"/>
      <c r="DI14" s="666"/>
      <c r="DJ14" s="666"/>
      <c r="DK14" s="666"/>
      <c r="DL14" s="666"/>
      <c r="DM14" s="666"/>
      <c r="DN14" s="666"/>
      <c r="DO14" s="666"/>
      <c r="DP14" s="666"/>
      <c r="DQ14" s="666"/>
      <c r="DR14" s="666"/>
      <c r="DS14" s="666"/>
      <c r="DT14" s="666"/>
      <c r="DU14" s="666"/>
      <c r="DV14" s="666"/>
      <c r="DW14" s="666"/>
      <c r="DX14" s="666"/>
      <c r="DY14" s="666"/>
      <c r="DZ14" s="666"/>
      <c r="EA14" s="666"/>
      <c r="EB14" s="666"/>
      <c r="EC14" s="666"/>
    </row>
    <row r="15" spans="1:133" s="536" customFormat="1" ht="24" customHeight="1">
      <c r="A15" s="2126" t="str">
        <f>CONCATENATE(+ZAKL_DATA!B19)</f>
        <v/>
      </c>
      <c r="B15" s="2124"/>
      <c r="C15" s="2124"/>
      <c r="D15" s="2124"/>
      <c r="E15" s="2124"/>
      <c r="F15" s="2124"/>
      <c r="G15" s="2124"/>
      <c r="H15" s="2125"/>
      <c r="I15" s="665"/>
      <c r="J15" s="2127" t="str">
        <f>+CONCATENATE(ZAKL_DATA!B18)</f>
        <v/>
      </c>
      <c r="K15" s="2113"/>
      <c r="L15" s="2113"/>
      <c r="M15" s="2113"/>
      <c r="N15" s="2113"/>
      <c r="O15" s="2113"/>
      <c r="P15" s="2113"/>
      <c r="Q15" s="2113"/>
      <c r="R15" s="2113"/>
      <c r="S15" s="2113"/>
      <c r="T15" s="2113"/>
      <c r="U15" s="2113"/>
      <c r="V15" s="2113"/>
      <c r="W15" s="2113"/>
      <c r="X15" s="2113"/>
      <c r="Y15" s="2113"/>
      <c r="Z15" s="2113"/>
      <c r="AA15" s="2113"/>
      <c r="AB15" s="2113"/>
      <c r="AC15" s="2113"/>
      <c r="AD15" s="2113"/>
      <c r="AE15" s="2113"/>
      <c r="AF15" s="2113"/>
      <c r="AG15" s="2113"/>
      <c r="AH15" s="2113"/>
      <c r="AI15" s="2113"/>
      <c r="AJ15" s="2113"/>
      <c r="AK15" s="2113"/>
      <c r="AL15" s="2113"/>
      <c r="AM15" s="2113"/>
      <c r="AN15" s="2113"/>
      <c r="AO15" s="2113"/>
      <c r="AP15" s="2113"/>
      <c r="AQ15" s="2113"/>
      <c r="AR15" s="2113"/>
      <c r="AS15" s="2113"/>
      <c r="AT15" s="2113"/>
      <c r="AU15" s="2114"/>
      <c r="AV15" s="665"/>
      <c r="AW15" s="2095" t="str">
        <f>+CONCATENATE(+ZAKL_DATA!B10)</f>
        <v/>
      </c>
      <c r="AX15" s="2128"/>
      <c r="AY15" s="2128"/>
      <c r="AZ15" s="2128"/>
      <c r="BA15" s="2128"/>
      <c r="BB15" s="2128"/>
      <c r="BC15" s="2128"/>
      <c r="BD15" s="2128"/>
      <c r="BE15" s="2128"/>
      <c r="BF15" s="2128"/>
      <c r="BG15" s="2129"/>
      <c r="BH15" s="651"/>
      <c r="BI15" s="666"/>
      <c r="BJ15" s="666"/>
      <c r="BK15" s="666"/>
      <c r="BL15" s="666"/>
      <c r="BM15" s="666"/>
      <c r="BN15" s="666"/>
      <c r="BO15" s="666"/>
      <c r="BP15" s="666"/>
      <c r="BQ15" s="666"/>
      <c r="BR15" s="666"/>
      <c r="BS15" s="666"/>
      <c r="BT15" s="666"/>
      <c r="BU15" s="666"/>
      <c r="BV15" s="666"/>
      <c r="BW15" s="666"/>
      <c r="BX15" s="666"/>
      <c r="BY15" s="666"/>
      <c r="BZ15" s="666"/>
      <c r="CA15" s="666"/>
      <c r="CB15" s="666"/>
      <c r="CC15" s="666"/>
      <c r="CD15" s="666"/>
      <c r="CE15" s="666"/>
      <c r="CF15" s="666"/>
      <c r="CG15" s="666"/>
      <c r="CH15" s="666"/>
      <c r="CI15" s="666"/>
      <c r="CJ15" s="666"/>
      <c r="CK15" s="666"/>
      <c r="CL15" s="666"/>
      <c r="CM15" s="666"/>
      <c r="CN15" s="666"/>
      <c r="CO15" s="666"/>
      <c r="CP15" s="666"/>
      <c r="CQ15" s="666"/>
      <c r="CR15" s="666"/>
      <c r="CS15" s="666"/>
      <c r="CT15" s="666"/>
      <c r="CU15" s="666"/>
      <c r="CV15" s="666"/>
      <c r="CW15" s="666"/>
      <c r="CX15" s="666"/>
      <c r="CY15" s="666"/>
      <c r="CZ15" s="666"/>
      <c r="DA15" s="666"/>
      <c r="DB15" s="666"/>
      <c r="DC15" s="666"/>
      <c r="DD15" s="666"/>
      <c r="DE15" s="666"/>
      <c r="DF15" s="666"/>
      <c r="DG15" s="666"/>
      <c r="DH15" s="666"/>
      <c r="DI15" s="666"/>
      <c r="DJ15" s="666"/>
      <c r="DK15" s="666"/>
      <c r="DL15" s="666"/>
      <c r="DM15" s="666"/>
      <c r="DN15" s="666"/>
      <c r="DO15" s="666"/>
      <c r="DP15" s="666"/>
      <c r="DQ15" s="666"/>
      <c r="DR15" s="666"/>
      <c r="DS15" s="666"/>
      <c r="DT15" s="666"/>
      <c r="DU15" s="666"/>
      <c r="DV15" s="666"/>
      <c r="DW15" s="666"/>
      <c r="DX15" s="666"/>
      <c r="DY15" s="666"/>
      <c r="DZ15" s="666"/>
      <c r="EA15" s="666"/>
      <c r="EB15" s="666"/>
      <c r="EC15" s="666"/>
    </row>
    <row r="16" spans="1:133" s="664" customFormat="1" ht="9.9499999999999993" customHeight="1">
      <c r="A16" s="2109" t="s">
        <v>3072</v>
      </c>
      <c r="B16" s="1528"/>
      <c r="C16" s="1528"/>
      <c r="D16" s="1528"/>
      <c r="E16" s="1528"/>
      <c r="F16" s="1528"/>
      <c r="G16" s="1528"/>
      <c r="H16" s="1528"/>
      <c r="I16" s="1528"/>
      <c r="J16" s="1528"/>
      <c r="K16" s="1528"/>
      <c r="L16" s="1528"/>
      <c r="M16" s="1528"/>
      <c r="N16" s="1528"/>
      <c r="O16" s="1528"/>
      <c r="P16" s="1528"/>
      <c r="Q16" s="1528"/>
      <c r="R16" s="1528"/>
      <c r="S16" s="1528"/>
      <c r="T16" s="1528"/>
      <c r="U16" s="1528"/>
      <c r="V16" s="1528"/>
      <c r="W16" s="1528"/>
      <c r="X16" s="1528"/>
      <c r="Y16" s="1528"/>
      <c r="Z16" s="1528"/>
      <c r="AA16" s="1528"/>
      <c r="AB16" s="1528"/>
      <c r="AC16" s="1528"/>
      <c r="AD16" s="1528"/>
      <c r="AE16" s="1528"/>
      <c r="AF16" s="1528"/>
      <c r="AG16" s="1528"/>
      <c r="AH16" s="1528"/>
      <c r="AI16" s="1528"/>
      <c r="AJ16" s="1528"/>
      <c r="AK16" s="1528"/>
      <c r="AL16" s="1528"/>
      <c r="AM16" s="1528"/>
      <c r="AN16" s="1528"/>
      <c r="AO16" s="1528"/>
      <c r="AP16" s="1528"/>
      <c r="AQ16" s="1528"/>
      <c r="AR16" s="1528"/>
      <c r="AS16" s="1528"/>
      <c r="AT16" s="1528"/>
      <c r="AU16" s="1528"/>
      <c r="AV16" s="1528"/>
      <c r="AW16" s="2110" t="s">
        <v>3073</v>
      </c>
      <c r="AX16" s="2110"/>
      <c r="AY16" s="2110"/>
      <c r="AZ16" s="2110"/>
      <c r="BA16" s="2110"/>
      <c r="BB16" s="2110"/>
      <c r="BC16" s="2110"/>
      <c r="BD16" s="2110"/>
      <c r="BE16" s="2110"/>
      <c r="BF16" s="2110"/>
      <c r="BG16" s="2111"/>
      <c r="BH16" s="651"/>
      <c r="BI16" s="666"/>
      <c r="BJ16" s="666"/>
      <c r="BK16" s="666"/>
      <c r="BL16" s="666"/>
      <c r="BM16" s="666"/>
      <c r="BN16" s="666"/>
      <c r="BO16" s="666"/>
      <c r="BP16" s="666"/>
      <c r="BQ16" s="666"/>
      <c r="BR16" s="666"/>
      <c r="BS16" s="666"/>
      <c r="BT16" s="666"/>
      <c r="BU16" s="666"/>
      <c r="BV16" s="666"/>
      <c r="BW16" s="666"/>
      <c r="BX16" s="666"/>
      <c r="BY16" s="666"/>
      <c r="BZ16" s="666"/>
      <c r="CA16" s="666"/>
      <c r="CB16" s="666"/>
      <c r="CC16" s="666"/>
      <c r="CD16" s="666"/>
      <c r="CE16" s="666"/>
      <c r="CF16" s="666"/>
      <c r="CG16" s="666"/>
      <c r="CH16" s="666"/>
      <c r="CI16" s="666"/>
      <c r="CJ16" s="666"/>
      <c r="CK16" s="666"/>
      <c r="CL16" s="666"/>
      <c r="CM16" s="666"/>
      <c r="CN16" s="666"/>
      <c r="CO16" s="666"/>
      <c r="CP16" s="666"/>
      <c r="CQ16" s="666"/>
      <c r="CR16" s="666"/>
      <c r="CS16" s="666"/>
      <c r="CT16" s="666"/>
      <c r="CU16" s="666"/>
      <c r="CV16" s="666"/>
      <c r="CW16" s="666"/>
      <c r="CX16" s="666"/>
      <c r="CY16" s="666"/>
      <c r="CZ16" s="666"/>
      <c r="DA16" s="666"/>
      <c r="DB16" s="666"/>
      <c r="DC16" s="666"/>
      <c r="DD16" s="666"/>
      <c r="DE16" s="666"/>
      <c r="DF16" s="666"/>
      <c r="DG16" s="666"/>
      <c r="DH16" s="666"/>
      <c r="DI16" s="666"/>
      <c r="DJ16" s="666"/>
      <c r="DK16" s="666"/>
      <c r="DL16" s="666"/>
      <c r="DM16" s="666"/>
      <c r="DN16" s="666"/>
      <c r="DO16" s="666"/>
      <c r="DP16" s="666"/>
      <c r="DQ16" s="666"/>
      <c r="DR16" s="666"/>
      <c r="DS16" s="666"/>
      <c r="DT16" s="666"/>
      <c r="DU16" s="666"/>
      <c r="DV16" s="666"/>
      <c r="DW16" s="666"/>
      <c r="DX16" s="666"/>
      <c r="DY16" s="666"/>
      <c r="DZ16" s="666"/>
      <c r="EA16" s="666"/>
      <c r="EB16" s="666"/>
      <c r="EC16" s="666"/>
    </row>
    <row r="17" spans="1:133" s="536" customFormat="1" ht="24" customHeight="1">
      <c r="A17" s="2112" t="str">
        <f>+CONCATENATE(ZAKL_DATA!B32," / ",ZAKL_DATA!B33)</f>
        <v xml:space="preserve"> / </v>
      </c>
      <c r="B17" s="2113"/>
      <c r="C17" s="2113"/>
      <c r="D17" s="2113"/>
      <c r="E17" s="2113"/>
      <c r="F17" s="2113"/>
      <c r="G17" s="2113"/>
      <c r="H17" s="2113"/>
      <c r="I17" s="2113"/>
      <c r="J17" s="2113"/>
      <c r="K17" s="2113"/>
      <c r="L17" s="2113"/>
      <c r="M17" s="2113"/>
      <c r="N17" s="2113"/>
      <c r="O17" s="2113"/>
      <c r="P17" s="2113"/>
      <c r="Q17" s="2113"/>
      <c r="R17" s="2113"/>
      <c r="S17" s="2113"/>
      <c r="T17" s="2113"/>
      <c r="U17" s="2113"/>
      <c r="V17" s="2113"/>
      <c r="W17" s="2113"/>
      <c r="X17" s="2113"/>
      <c r="Y17" s="2113"/>
      <c r="Z17" s="2113"/>
      <c r="AA17" s="2113"/>
      <c r="AB17" s="2113"/>
      <c r="AC17" s="2113"/>
      <c r="AD17" s="2113"/>
      <c r="AE17" s="2113"/>
      <c r="AF17" s="2113"/>
      <c r="AG17" s="2113"/>
      <c r="AH17" s="2113"/>
      <c r="AI17" s="2114"/>
      <c r="AJ17" s="2115"/>
      <c r="AK17" s="2116"/>
      <c r="AL17" s="2116"/>
      <c r="AM17" s="2116"/>
      <c r="AN17" s="2116"/>
      <c r="AO17" s="2116"/>
      <c r="AP17" s="2116"/>
      <c r="AQ17" s="2116"/>
      <c r="AR17" s="2116"/>
      <c r="AS17" s="2116"/>
      <c r="AT17" s="2116"/>
      <c r="AU17" s="2116"/>
      <c r="AV17" s="2117"/>
      <c r="AW17" s="2106" t="str">
        <f>++CONCATENATE(ZAKL_DATA!B25)</f>
        <v/>
      </c>
      <c r="AX17" s="2107"/>
      <c r="AY17" s="2107"/>
      <c r="AZ17" s="2107"/>
      <c r="BA17" s="2107"/>
      <c r="BB17" s="2107"/>
      <c r="BC17" s="2107"/>
      <c r="BD17" s="2107"/>
      <c r="BE17" s="2107"/>
      <c r="BF17" s="2107"/>
      <c r="BG17" s="2108"/>
      <c r="BH17" s="651"/>
      <c r="BI17" s="666"/>
      <c r="BJ17" s="666"/>
      <c r="BK17" s="666"/>
      <c r="BL17" s="666"/>
      <c r="BM17" s="666"/>
      <c r="BN17" s="666"/>
      <c r="BO17" s="666"/>
      <c r="BP17" s="666"/>
      <c r="BQ17" s="666"/>
      <c r="BR17" s="666"/>
      <c r="BS17" s="666"/>
      <c r="BT17" s="666"/>
      <c r="BU17" s="666"/>
      <c r="BV17" s="666"/>
      <c r="BW17" s="666"/>
      <c r="BX17" s="666"/>
      <c r="BY17" s="666"/>
      <c r="BZ17" s="666"/>
      <c r="CA17" s="666"/>
      <c r="CB17" s="666"/>
      <c r="CC17" s="666"/>
      <c r="CD17" s="666"/>
      <c r="CE17" s="666"/>
      <c r="CF17" s="666"/>
      <c r="CG17" s="666"/>
      <c r="CH17" s="666"/>
      <c r="CI17" s="666"/>
      <c r="CJ17" s="666"/>
      <c r="CK17" s="666"/>
      <c r="CL17" s="666"/>
      <c r="CM17" s="666"/>
      <c r="CN17" s="666"/>
      <c r="CO17" s="666"/>
      <c r="CP17" s="666"/>
      <c r="CQ17" s="666"/>
      <c r="CR17" s="666"/>
      <c r="CS17" s="666"/>
      <c r="CT17" s="666"/>
      <c r="CU17" s="666"/>
      <c r="CV17" s="666"/>
      <c r="CW17" s="666"/>
      <c r="CX17" s="666"/>
      <c r="CY17" s="666"/>
      <c r="CZ17" s="666"/>
      <c r="DA17" s="666"/>
      <c r="DB17" s="666"/>
      <c r="DC17" s="666"/>
      <c r="DD17" s="666"/>
      <c r="DE17" s="666"/>
      <c r="DF17" s="666"/>
      <c r="DG17" s="666"/>
      <c r="DH17" s="666"/>
      <c r="DI17" s="666"/>
      <c r="DJ17" s="666"/>
      <c r="DK17" s="666"/>
      <c r="DL17" s="666"/>
      <c r="DM17" s="666"/>
      <c r="DN17" s="666"/>
      <c r="DO17" s="666"/>
      <c r="DP17" s="666"/>
      <c r="DQ17" s="666"/>
      <c r="DR17" s="666"/>
      <c r="DS17" s="666"/>
      <c r="DT17" s="666"/>
      <c r="DU17" s="666"/>
      <c r="DV17" s="666"/>
      <c r="DW17" s="666"/>
      <c r="DX17" s="666"/>
      <c r="DY17" s="666"/>
      <c r="DZ17" s="666"/>
      <c r="EA17" s="666"/>
      <c r="EB17" s="666"/>
      <c r="EC17" s="666"/>
    </row>
    <row r="18" spans="1:133" s="664" customFormat="1" ht="9.9499999999999993" customHeight="1">
      <c r="A18" s="2109" t="s">
        <v>3074</v>
      </c>
      <c r="B18" s="2118"/>
      <c r="C18" s="2118"/>
      <c r="D18" s="2118"/>
      <c r="E18" s="2118"/>
      <c r="F18" s="2118"/>
      <c r="G18" s="2118"/>
      <c r="H18" s="2118"/>
      <c r="I18" s="2118"/>
      <c r="J18" s="2118"/>
      <c r="K18" s="2118"/>
      <c r="L18" s="2118"/>
      <c r="M18" s="2118"/>
      <c r="N18" s="2118"/>
      <c r="O18" s="2118"/>
      <c r="P18" s="2118"/>
      <c r="Q18" s="2118"/>
      <c r="R18" s="2118"/>
      <c r="S18" s="2118"/>
      <c r="T18" s="2118"/>
      <c r="U18" s="2118"/>
      <c r="V18" s="2118"/>
      <c r="W18" s="2118"/>
      <c r="X18" s="2118"/>
      <c r="Y18" s="2118"/>
      <c r="Z18" s="2118"/>
      <c r="AA18" s="2118"/>
      <c r="AB18" s="2118"/>
      <c r="AC18" s="2118"/>
      <c r="AD18" s="2118"/>
      <c r="AE18" s="2118"/>
      <c r="AF18" s="2118"/>
      <c r="AG18" s="2118"/>
      <c r="AH18" s="2118"/>
      <c r="AI18" s="2118"/>
      <c r="AJ18" s="2118"/>
      <c r="AK18" s="2118"/>
      <c r="AL18" s="2118"/>
      <c r="AM18" s="2118"/>
      <c r="AN18" s="2118"/>
      <c r="AO18" s="2118"/>
      <c r="AP18" s="2118"/>
      <c r="AQ18" s="2118"/>
      <c r="AR18" s="2118"/>
      <c r="AS18" s="2118"/>
      <c r="AT18" s="2118"/>
      <c r="AU18" s="2118"/>
      <c r="AV18" s="2118"/>
      <c r="AW18" s="2118"/>
      <c r="AX18" s="2118"/>
      <c r="AY18" s="2118"/>
      <c r="AZ18" s="2118"/>
      <c r="BA18" s="2118"/>
      <c r="BB18" s="2118"/>
      <c r="BC18" s="2118"/>
      <c r="BD18" s="2118"/>
      <c r="BE18" s="2118"/>
      <c r="BF18" s="2118"/>
      <c r="BG18" s="2119"/>
      <c r="BH18" s="651"/>
      <c r="BI18" s="666"/>
      <c r="BJ18" s="666"/>
      <c r="BK18" s="666"/>
      <c r="BL18" s="666"/>
      <c r="BM18" s="666"/>
      <c r="BN18" s="666"/>
      <c r="BO18" s="666"/>
      <c r="BP18" s="666"/>
      <c r="BQ18" s="666"/>
      <c r="BR18" s="666"/>
      <c r="BS18" s="666"/>
      <c r="BT18" s="666"/>
      <c r="BU18" s="666"/>
      <c r="BV18" s="666"/>
      <c r="BW18" s="666"/>
      <c r="BX18" s="666"/>
      <c r="BY18" s="666"/>
      <c r="BZ18" s="666"/>
      <c r="CA18" s="666"/>
      <c r="CB18" s="666"/>
      <c r="CC18" s="666"/>
      <c r="CD18" s="666"/>
      <c r="CE18" s="666"/>
      <c r="CF18" s="666"/>
      <c r="CG18" s="666"/>
      <c r="CH18" s="666"/>
      <c r="CI18" s="666"/>
      <c r="CJ18" s="666"/>
      <c r="CK18" s="666"/>
      <c r="CL18" s="666"/>
      <c r="CM18" s="666"/>
      <c r="CN18" s="666"/>
      <c r="CO18" s="666"/>
      <c r="CP18" s="666"/>
      <c r="CQ18" s="666"/>
      <c r="CR18" s="666"/>
      <c r="CS18" s="666"/>
      <c r="CT18" s="666"/>
      <c r="CU18" s="666"/>
      <c r="CV18" s="666"/>
      <c r="CW18" s="666"/>
      <c r="CX18" s="666"/>
      <c r="CY18" s="666"/>
      <c r="CZ18" s="666"/>
      <c r="DA18" s="666"/>
      <c r="DB18" s="666"/>
      <c r="DC18" s="666"/>
      <c r="DD18" s="666"/>
      <c r="DE18" s="666"/>
      <c r="DF18" s="666"/>
      <c r="DG18" s="666"/>
      <c r="DH18" s="666"/>
      <c r="DI18" s="666"/>
      <c r="DJ18" s="666"/>
      <c r="DK18" s="666"/>
      <c r="DL18" s="666"/>
      <c r="DM18" s="666"/>
      <c r="DN18" s="666"/>
      <c r="DO18" s="666"/>
      <c r="DP18" s="666"/>
      <c r="DQ18" s="666"/>
      <c r="DR18" s="666"/>
      <c r="DS18" s="666"/>
      <c r="DT18" s="666"/>
      <c r="DU18" s="666"/>
      <c r="DV18" s="666"/>
      <c r="DW18" s="666"/>
      <c r="DX18" s="666"/>
      <c r="DY18" s="666"/>
      <c r="DZ18" s="666"/>
      <c r="EA18" s="666"/>
      <c r="EB18" s="666"/>
      <c r="EC18" s="666"/>
    </row>
    <row r="19" spans="1:133" s="536" customFormat="1" ht="24" customHeight="1">
      <c r="A19" s="2130" t="str">
        <f>+CONCATENATE(ZAKL_DATA!B27)</f>
        <v/>
      </c>
      <c r="B19" s="2131"/>
      <c r="C19" s="2107"/>
      <c r="D19" s="2107"/>
      <c r="E19" s="2107"/>
      <c r="F19" s="2107"/>
      <c r="G19" s="2107"/>
      <c r="H19" s="2107"/>
      <c r="I19" s="2107"/>
      <c r="J19" s="2107"/>
      <c r="K19" s="2107"/>
      <c r="L19" s="2107"/>
      <c r="M19" s="2107"/>
      <c r="N19" s="2107"/>
      <c r="O19" s="2107"/>
      <c r="P19" s="2107"/>
      <c r="Q19" s="2107"/>
      <c r="R19" s="2107"/>
      <c r="S19" s="2107"/>
      <c r="T19" s="2107"/>
      <c r="U19" s="2107"/>
      <c r="V19" s="2107"/>
      <c r="W19" s="2107"/>
      <c r="X19" s="2107"/>
      <c r="Y19" s="2107"/>
      <c r="Z19" s="2107"/>
      <c r="AA19" s="2107"/>
      <c r="AB19" s="2107"/>
      <c r="AC19" s="2107"/>
      <c r="AD19" s="2107"/>
      <c r="AE19" s="2107"/>
      <c r="AF19" s="2107"/>
      <c r="AG19" s="2107"/>
      <c r="AH19" s="2107"/>
      <c r="AI19" s="2107"/>
      <c r="AJ19" s="2107"/>
      <c r="AK19" s="2107"/>
      <c r="AL19" s="2107"/>
      <c r="AM19" s="2107"/>
      <c r="AN19" s="2107"/>
      <c r="AO19" s="2107"/>
      <c r="AP19" s="2107"/>
      <c r="AQ19" s="2107"/>
      <c r="AR19" s="2107"/>
      <c r="AS19" s="2107"/>
      <c r="AT19" s="2107"/>
      <c r="AU19" s="2107"/>
      <c r="AV19" s="2107"/>
      <c r="AW19" s="2107"/>
      <c r="AX19" s="2107"/>
      <c r="AY19" s="2107"/>
      <c r="AZ19" s="2107"/>
      <c r="BA19" s="2107"/>
      <c r="BB19" s="2107"/>
      <c r="BC19" s="2107"/>
      <c r="BD19" s="2107"/>
      <c r="BE19" s="2107"/>
      <c r="BF19" s="2107"/>
      <c r="BG19" s="2108"/>
      <c r="BH19" s="651"/>
      <c r="BI19" s="666"/>
      <c r="BJ19" s="666"/>
      <c r="BK19" s="666"/>
      <c r="BL19" s="666"/>
      <c r="BM19" s="666"/>
      <c r="BN19" s="666"/>
      <c r="BO19" s="666"/>
      <c r="BP19" s="666"/>
      <c r="BQ19" s="666"/>
      <c r="BR19" s="666"/>
      <c r="BS19" s="667"/>
      <c r="BT19" s="667"/>
      <c r="BU19" s="667"/>
      <c r="BV19" s="667"/>
      <c r="BW19" s="667"/>
      <c r="BX19" s="667"/>
      <c r="BY19" s="667"/>
      <c r="BZ19" s="667"/>
      <c r="CA19" s="667"/>
      <c r="CB19" s="667"/>
      <c r="CC19" s="667"/>
      <c r="CD19" s="667"/>
      <c r="CE19" s="667"/>
      <c r="CF19" s="667"/>
      <c r="CG19" s="667"/>
      <c r="CH19" s="667"/>
      <c r="CI19" s="667"/>
      <c r="CJ19" s="667"/>
      <c r="CK19" s="667"/>
      <c r="CL19" s="667"/>
      <c r="CM19" s="667"/>
      <c r="CN19" s="667"/>
      <c r="CO19" s="667"/>
      <c r="CP19" s="667"/>
      <c r="CQ19" s="667"/>
      <c r="CR19" s="667"/>
      <c r="CS19" s="667"/>
      <c r="CT19" s="667"/>
      <c r="CU19" s="667"/>
      <c r="CV19" s="667"/>
      <c r="CW19" s="667"/>
      <c r="CX19" s="667"/>
      <c r="CY19" s="667"/>
      <c r="CZ19" s="667"/>
      <c r="DA19" s="667"/>
      <c r="DB19" s="667"/>
      <c r="DC19" s="667"/>
      <c r="DD19" s="667"/>
      <c r="DE19" s="667"/>
      <c r="DF19" s="667"/>
      <c r="DG19" s="667"/>
      <c r="DH19" s="667"/>
      <c r="DI19" s="667"/>
      <c r="DJ19" s="667"/>
      <c r="DK19" s="667"/>
      <c r="DL19" s="667"/>
      <c r="DM19" s="667"/>
      <c r="DN19" s="667"/>
      <c r="DO19" s="667"/>
      <c r="DP19" s="667"/>
      <c r="DQ19" s="667"/>
      <c r="DR19" s="667"/>
      <c r="DS19" s="667"/>
      <c r="DT19" s="667"/>
      <c r="DU19" s="667"/>
      <c r="DV19" s="667"/>
      <c r="DW19" s="667"/>
      <c r="DX19" s="667"/>
      <c r="DY19" s="667"/>
      <c r="DZ19" s="667"/>
      <c r="EA19" s="667"/>
      <c r="EB19" s="667"/>
      <c r="EC19" s="667"/>
    </row>
    <row r="20" spans="1:133" ht="5.0999999999999996" customHeight="1">
      <c r="A20" s="2132"/>
      <c r="B20" s="2133"/>
      <c r="C20" s="2133"/>
      <c r="D20" s="2133"/>
      <c r="E20" s="2133"/>
      <c r="F20" s="2133"/>
      <c r="G20" s="2133"/>
      <c r="H20" s="2133"/>
      <c r="I20" s="2133"/>
      <c r="J20" s="2133"/>
      <c r="K20" s="2133"/>
      <c r="L20" s="2133"/>
      <c r="M20" s="2133"/>
      <c r="N20" s="2133"/>
      <c r="O20" s="2133"/>
      <c r="P20" s="2133"/>
      <c r="Q20" s="2133"/>
      <c r="R20" s="2133"/>
      <c r="S20" s="2133"/>
      <c r="T20" s="2133"/>
      <c r="U20" s="2133"/>
      <c r="V20" s="2133"/>
      <c r="W20" s="2133"/>
      <c r="X20" s="2133"/>
      <c r="Y20" s="2133"/>
      <c r="Z20" s="2133"/>
      <c r="AA20" s="2133"/>
      <c r="AB20" s="2133"/>
      <c r="AC20" s="2133"/>
      <c r="AD20" s="2133"/>
      <c r="AE20" s="2133"/>
      <c r="AF20" s="2133"/>
      <c r="AG20" s="2133"/>
      <c r="AH20" s="2133"/>
      <c r="AI20" s="2133"/>
      <c r="AJ20" s="2133"/>
      <c r="AK20" s="2133"/>
      <c r="AL20" s="2133"/>
      <c r="AM20" s="2133"/>
      <c r="AN20" s="2133"/>
      <c r="AO20" s="2133"/>
      <c r="AP20" s="2133"/>
      <c r="AQ20" s="2133"/>
      <c r="AR20" s="2133"/>
      <c r="AS20" s="2133"/>
      <c r="AT20" s="2133"/>
      <c r="AU20" s="2133"/>
      <c r="AV20" s="2133"/>
      <c r="AW20" s="2133"/>
      <c r="AX20" s="2133"/>
      <c r="AY20" s="2133"/>
      <c r="AZ20" s="2133"/>
      <c r="BA20" s="2133"/>
      <c r="BB20" s="2133"/>
      <c r="BC20" s="2133"/>
      <c r="BD20" s="2133"/>
      <c r="BE20" s="2133"/>
      <c r="BF20" s="2133"/>
      <c r="BG20" s="2134"/>
      <c r="BH20" s="651"/>
    </row>
    <row r="21" spans="1:133" ht="15" customHeight="1">
      <c r="A21" s="2101" t="s">
        <v>3075</v>
      </c>
      <c r="B21" s="2102"/>
      <c r="C21" s="2102"/>
      <c r="D21" s="2102"/>
      <c r="E21" s="2102"/>
      <c r="F21" s="2102"/>
      <c r="G21" s="2102"/>
      <c r="H21" s="2102"/>
      <c r="I21" s="2102"/>
      <c r="J21" s="2102"/>
      <c r="K21" s="2102"/>
      <c r="L21" s="2102"/>
      <c r="M21" s="2102"/>
      <c r="N21" s="2102"/>
      <c r="O21" s="2102"/>
      <c r="P21" s="2102"/>
      <c r="Q21" s="2102"/>
      <c r="R21" s="2102"/>
      <c r="S21" s="2102"/>
      <c r="T21" s="2102"/>
      <c r="U21" s="2102"/>
      <c r="V21" s="2102"/>
      <c r="W21" s="2102"/>
      <c r="X21" s="2102"/>
      <c r="Y21" s="2102"/>
      <c r="Z21" s="2102"/>
      <c r="AA21" s="2102"/>
      <c r="AB21" s="2102"/>
      <c r="AC21" s="2102"/>
      <c r="AD21" s="2102"/>
      <c r="AE21" s="2102"/>
      <c r="AF21" s="2102"/>
      <c r="AG21" s="2102"/>
      <c r="AH21" s="2102"/>
      <c r="AI21" s="2102"/>
      <c r="AJ21" s="2102"/>
      <c r="AK21" s="2102"/>
      <c r="AL21" s="2102"/>
      <c r="AM21" s="2102"/>
      <c r="AN21" s="2102"/>
      <c r="AO21" s="2102"/>
      <c r="AP21" s="2102"/>
      <c r="AQ21" s="2102"/>
      <c r="AR21" s="2135"/>
      <c r="AS21" s="2135"/>
      <c r="AT21" s="2135"/>
      <c r="AU21" s="2135"/>
      <c r="AV21" s="2135"/>
      <c r="AW21" s="2135"/>
      <c r="AX21" s="2135"/>
      <c r="AY21" s="2135"/>
      <c r="AZ21" s="2135"/>
      <c r="BA21" s="2135"/>
      <c r="BB21" s="2135"/>
      <c r="BC21" s="2135"/>
      <c r="BD21" s="2135"/>
      <c r="BE21" s="2135"/>
      <c r="BF21" s="2135"/>
      <c r="BG21" s="2136"/>
      <c r="BH21" s="651"/>
    </row>
    <row r="22" spans="1:133" ht="14.1" customHeight="1">
      <c r="A22" s="677"/>
      <c r="B22" s="678"/>
      <c r="C22" s="2137" t="s">
        <v>3076</v>
      </c>
      <c r="D22" s="2137"/>
      <c r="E22" s="2138"/>
      <c r="F22" s="2138"/>
      <c r="G22" s="2138"/>
      <c r="H22" s="2138"/>
      <c r="I22" s="2138"/>
      <c r="J22" s="2138"/>
      <c r="K22" s="2138"/>
      <c r="L22" s="2138"/>
      <c r="M22" s="2138"/>
      <c r="N22" s="2138"/>
      <c r="O22" s="2138"/>
      <c r="P22" s="2138"/>
      <c r="Q22" s="2138"/>
      <c r="R22" s="2138"/>
      <c r="S22" s="2138"/>
      <c r="T22" s="2138"/>
      <c r="U22" s="2138"/>
      <c r="V22" s="2138"/>
      <c r="W22" s="2138"/>
      <c r="X22" s="2138"/>
      <c r="Y22" s="2138"/>
      <c r="Z22" s="2138"/>
      <c r="AA22" s="2138"/>
      <c r="AB22" s="2138"/>
      <c r="AC22" s="2138"/>
      <c r="AD22" s="2138"/>
      <c r="AE22" s="2138"/>
      <c r="AF22" s="2138"/>
      <c r="AG22" s="2138"/>
      <c r="AH22" s="2138"/>
      <c r="AI22" s="2138"/>
      <c r="AJ22" s="2138"/>
      <c r="AK22" s="2138"/>
      <c r="AL22" s="2138"/>
      <c r="AM22" s="2138"/>
      <c r="AN22" s="2138"/>
      <c r="AO22" s="2138"/>
      <c r="AP22" s="2139"/>
      <c r="AQ22" s="679"/>
      <c r="AR22" s="680" t="s">
        <v>234</v>
      </c>
      <c r="AS22" s="2140" t="s">
        <v>3077</v>
      </c>
      <c r="AT22" s="2141"/>
      <c r="AU22" s="2141"/>
      <c r="AV22" s="2141"/>
      <c r="AW22" s="2141"/>
      <c r="AX22" s="2141"/>
      <c r="AY22" s="2141"/>
      <c r="AZ22" s="2141"/>
      <c r="BA22" s="2141"/>
      <c r="BB22" s="2141"/>
      <c r="BC22" s="2141"/>
      <c r="BD22" s="2141"/>
      <c r="BE22" s="2141"/>
      <c r="BF22" s="2141"/>
      <c r="BG22" s="2142"/>
      <c r="BH22" s="651"/>
    </row>
    <row r="23" spans="1:133" ht="14.1" customHeight="1">
      <c r="A23" s="672"/>
      <c r="B23" s="673"/>
      <c r="C23" s="681">
        <v>1</v>
      </c>
      <c r="D23" s="681"/>
      <c r="E23" s="681">
        <v>2</v>
      </c>
      <c r="F23" s="681"/>
      <c r="G23" s="681">
        <v>3</v>
      </c>
      <c r="H23" s="681"/>
      <c r="I23" s="681">
        <v>4</v>
      </c>
      <c r="J23" s="681"/>
      <c r="K23" s="681">
        <v>5</v>
      </c>
      <c r="L23" s="681"/>
      <c r="M23" s="681">
        <v>6</v>
      </c>
      <c r="N23" s="681"/>
      <c r="O23" s="681">
        <v>7</v>
      </c>
      <c r="P23" s="681"/>
      <c r="Q23" s="681">
        <v>8</v>
      </c>
      <c r="R23" s="681"/>
      <c r="S23" s="681">
        <v>9</v>
      </c>
      <c r="T23" s="681"/>
      <c r="U23" s="681">
        <v>10</v>
      </c>
      <c r="V23" s="681"/>
      <c r="W23" s="681">
        <v>11</v>
      </c>
      <c r="X23" s="681"/>
      <c r="Y23" s="681">
        <v>12</v>
      </c>
      <c r="Z23" s="2143" t="s">
        <v>215</v>
      </c>
      <c r="AA23" s="2144"/>
      <c r="AB23" s="2145"/>
      <c r="AC23" s="1525"/>
      <c r="AD23" s="1525"/>
      <c r="AE23" s="1525"/>
      <c r="AF23" s="1525"/>
      <c r="AG23" s="1525"/>
      <c r="AH23" s="1525"/>
      <c r="AI23" s="1525"/>
      <c r="AJ23" s="1525"/>
      <c r="AK23" s="1525"/>
      <c r="AL23" s="1525"/>
      <c r="AM23" s="1525"/>
      <c r="AN23" s="1525"/>
      <c r="AO23" s="1525"/>
      <c r="AP23" s="2055"/>
      <c r="AQ23" s="2146"/>
      <c r="AR23" s="1525"/>
      <c r="AS23" s="1525"/>
      <c r="AT23" s="1525"/>
      <c r="AU23" s="1525"/>
      <c r="AV23" s="1525"/>
      <c r="AW23" s="1525"/>
      <c r="AX23" s="1525"/>
      <c r="AY23" s="1525"/>
      <c r="AZ23" s="1525"/>
      <c r="BA23" s="1525"/>
      <c r="BB23" s="1525"/>
      <c r="BC23" s="1525"/>
      <c r="BD23" s="1525"/>
      <c r="BE23" s="1525"/>
      <c r="BF23" s="1525"/>
      <c r="BG23" s="2055"/>
      <c r="BH23" s="651"/>
    </row>
    <row r="24" spans="1:133" ht="14.1" customHeight="1">
      <c r="A24" s="2132"/>
      <c r="B24" s="2055"/>
      <c r="C24" s="680"/>
      <c r="D24" s="683"/>
      <c r="E24" s="680"/>
      <c r="F24" s="683"/>
      <c r="G24" s="680"/>
      <c r="H24" s="683"/>
      <c r="I24" s="680"/>
      <c r="J24" s="683"/>
      <c r="K24" s="680"/>
      <c r="L24" s="683"/>
      <c r="M24" s="680"/>
      <c r="N24" s="683"/>
      <c r="O24" s="680"/>
      <c r="P24" s="683"/>
      <c r="Q24" s="680"/>
      <c r="R24" s="683"/>
      <c r="S24" s="680"/>
      <c r="T24" s="683"/>
      <c r="U24" s="680"/>
      <c r="V24" s="683"/>
      <c r="W24" s="680"/>
      <c r="X24" s="683"/>
      <c r="Y24" s="680"/>
      <c r="Z24" s="683"/>
      <c r="AA24" s="680"/>
      <c r="AB24" s="1525"/>
      <c r="AC24" s="1525"/>
      <c r="AD24" s="1525"/>
      <c r="AE24" s="1525"/>
      <c r="AF24" s="1525"/>
      <c r="AG24" s="1525"/>
      <c r="AH24" s="1525"/>
      <c r="AI24" s="1525"/>
      <c r="AJ24" s="1525"/>
      <c r="AK24" s="1525"/>
      <c r="AL24" s="1525"/>
      <c r="AM24" s="1525"/>
      <c r="AN24" s="1525"/>
      <c r="AO24" s="1525"/>
      <c r="AP24" s="2055"/>
      <c r="AQ24" s="684"/>
      <c r="AR24" s="680"/>
      <c r="AS24" s="2147" t="s">
        <v>3078</v>
      </c>
      <c r="AT24" s="1525"/>
      <c r="AU24" s="1525"/>
      <c r="AV24" s="1525"/>
      <c r="AW24" s="1525"/>
      <c r="AX24" s="1525"/>
      <c r="AY24" s="1525"/>
      <c r="AZ24" s="1525"/>
      <c r="BA24" s="1525"/>
      <c r="BB24" s="1525"/>
      <c r="BC24" s="1525"/>
      <c r="BD24" s="1525"/>
      <c r="BE24" s="1525"/>
      <c r="BF24" s="1525"/>
      <c r="BG24" s="2055"/>
      <c r="BH24" s="651"/>
    </row>
    <row r="25" spans="1:133" ht="14.1" customHeight="1">
      <c r="A25" s="656"/>
      <c r="B25" s="685"/>
      <c r="C25" s="2153" t="s">
        <v>3079</v>
      </c>
      <c r="D25" s="2153"/>
      <c r="E25" s="1528"/>
      <c r="F25" s="1528"/>
      <c r="G25" s="1528"/>
      <c r="H25" s="1528"/>
      <c r="I25" s="1528"/>
      <c r="J25" s="1528"/>
      <c r="K25" s="1528"/>
      <c r="L25" s="1528"/>
      <c r="M25" s="1528"/>
      <c r="N25" s="1528"/>
      <c r="O25" s="1528"/>
      <c r="P25" s="1528"/>
      <c r="Q25" s="1528"/>
      <c r="R25" s="1528"/>
      <c r="S25" s="1528"/>
      <c r="T25" s="1528"/>
      <c r="U25" s="1528"/>
      <c r="V25" s="1528"/>
      <c r="W25" s="1528"/>
      <c r="X25" s="1528"/>
      <c r="Y25" s="1528"/>
      <c r="Z25" s="1528"/>
      <c r="AA25" s="1528"/>
      <c r="AB25" s="1528"/>
      <c r="AC25" s="1528"/>
      <c r="AD25" s="1528"/>
      <c r="AE25" s="1528"/>
      <c r="AF25" s="1528"/>
      <c r="AG25" s="1528"/>
      <c r="AH25" s="1528"/>
      <c r="AI25" s="1528"/>
      <c r="AJ25" s="1528"/>
      <c r="AK25" s="1528"/>
      <c r="AL25" s="1528"/>
      <c r="AM25" s="1528"/>
      <c r="AN25" s="1528"/>
      <c r="AO25" s="1528"/>
      <c r="AP25" s="2154"/>
      <c r="AQ25" s="2146"/>
      <c r="AR25" s="1525"/>
      <c r="AS25" s="1525"/>
      <c r="AT25" s="1525"/>
      <c r="AU25" s="1525"/>
      <c r="AV25" s="1525"/>
      <c r="AW25" s="1525"/>
      <c r="AX25" s="1525"/>
      <c r="AY25" s="1525"/>
      <c r="AZ25" s="1525"/>
      <c r="BA25" s="1525"/>
      <c r="BB25" s="1525"/>
      <c r="BC25" s="1525"/>
      <c r="BD25" s="1525"/>
      <c r="BE25" s="1525"/>
      <c r="BF25" s="1525"/>
      <c r="BG25" s="2055"/>
      <c r="BH25" s="651"/>
    </row>
    <row r="26" spans="1:133" ht="14.1" customHeight="1">
      <c r="A26" s="672"/>
      <c r="B26" s="673"/>
      <c r="C26" s="681">
        <v>1</v>
      </c>
      <c r="D26" s="681"/>
      <c r="E26" s="681">
        <v>2</v>
      </c>
      <c r="F26" s="681"/>
      <c r="G26" s="681">
        <v>3</v>
      </c>
      <c r="H26" s="681"/>
      <c r="I26" s="681">
        <v>4</v>
      </c>
      <c r="J26" s="681"/>
      <c r="K26" s="681">
        <v>5</v>
      </c>
      <c r="L26" s="681"/>
      <c r="M26" s="681">
        <v>6</v>
      </c>
      <c r="N26" s="681"/>
      <c r="O26" s="681">
        <v>7</v>
      </c>
      <c r="P26" s="681"/>
      <c r="Q26" s="681">
        <v>8</v>
      </c>
      <c r="R26" s="681"/>
      <c r="S26" s="681">
        <v>9</v>
      </c>
      <c r="T26" s="681"/>
      <c r="U26" s="681">
        <v>10</v>
      </c>
      <c r="V26" s="681"/>
      <c r="W26" s="681">
        <v>11</v>
      </c>
      <c r="X26" s="681"/>
      <c r="Y26" s="681">
        <v>12</v>
      </c>
      <c r="Z26" s="2143" t="s">
        <v>215</v>
      </c>
      <c r="AA26" s="2144"/>
      <c r="AB26" s="2145"/>
      <c r="AC26" s="2145"/>
      <c r="AD26" s="2145"/>
      <c r="AE26" s="2155" t="s">
        <v>3080</v>
      </c>
      <c r="AF26" s="2082"/>
      <c r="AG26" s="2082"/>
      <c r="AH26" s="2082"/>
      <c r="AI26" s="2082"/>
      <c r="AJ26" s="2082"/>
      <c r="AK26" s="2156" t="s">
        <v>3081</v>
      </c>
      <c r="AL26" s="1525"/>
      <c r="AM26" s="1525"/>
      <c r="AN26" s="1525"/>
      <c r="AO26" s="1525"/>
      <c r="AP26" s="2055"/>
      <c r="AQ26" s="684"/>
      <c r="AR26" s="680"/>
      <c r="AS26" s="2147" t="s">
        <v>3082</v>
      </c>
      <c r="AT26" s="1525"/>
      <c r="AU26" s="1525"/>
      <c r="AV26" s="1525"/>
      <c r="AW26" s="1525"/>
      <c r="AX26" s="1525"/>
      <c r="AY26" s="1525"/>
      <c r="AZ26" s="1525"/>
      <c r="BA26" s="1525"/>
      <c r="BB26" s="1525"/>
      <c r="BC26" s="1525"/>
      <c r="BD26" s="1525"/>
      <c r="BE26" s="1525"/>
      <c r="BF26" s="1525"/>
      <c r="BG26" s="2055"/>
      <c r="BH26" s="651"/>
    </row>
    <row r="27" spans="1:133" ht="14.1" customHeight="1">
      <c r="A27" s="2132"/>
      <c r="B27" s="2055"/>
      <c r="C27" s="680"/>
      <c r="D27" s="683"/>
      <c r="E27" s="680"/>
      <c r="F27" s="683"/>
      <c r="G27" s="680"/>
      <c r="H27" s="683"/>
      <c r="I27" s="680"/>
      <c r="J27" s="683"/>
      <c r="K27" s="680"/>
      <c r="L27" s="683"/>
      <c r="M27" s="680"/>
      <c r="N27" s="683"/>
      <c r="O27" s="680"/>
      <c r="P27" s="683"/>
      <c r="Q27" s="680"/>
      <c r="R27" s="683"/>
      <c r="S27" s="680"/>
      <c r="T27" s="683"/>
      <c r="U27" s="680"/>
      <c r="V27" s="683"/>
      <c r="W27" s="680"/>
      <c r="X27" s="683"/>
      <c r="Y27" s="680"/>
      <c r="Z27" s="683"/>
      <c r="AA27" s="680"/>
      <c r="AB27" s="2148" t="s">
        <v>3083</v>
      </c>
      <c r="AC27" s="2149"/>
      <c r="AD27" s="2149"/>
      <c r="AE27" s="680"/>
      <c r="AF27" s="2150"/>
      <c r="AG27" s="2151"/>
      <c r="AH27" s="2151"/>
      <c r="AI27" s="2151"/>
      <c r="AJ27" s="2152"/>
      <c r="AK27" s="680"/>
      <c r="AL27" s="2132"/>
      <c r="AM27" s="1525"/>
      <c r="AN27" s="1525"/>
      <c r="AO27" s="1525"/>
      <c r="AP27" s="2055"/>
      <c r="AQ27" s="2146"/>
      <c r="AR27" s="1525"/>
      <c r="AS27" s="1525"/>
      <c r="AT27" s="1525"/>
      <c r="AU27" s="1525"/>
      <c r="AV27" s="1525"/>
      <c r="AW27" s="1525"/>
      <c r="AX27" s="1525"/>
      <c r="AY27" s="1525"/>
      <c r="AZ27" s="1525"/>
      <c r="BA27" s="1525"/>
      <c r="BB27" s="1525"/>
      <c r="BC27" s="1525"/>
      <c r="BD27" s="1525"/>
      <c r="BE27" s="1525"/>
      <c r="BF27" s="1525"/>
      <c r="BG27" s="2055"/>
      <c r="BH27" s="651"/>
    </row>
    <row r="28" spans="1:133" ht="14.1" customHeight="1">
      <c r="A28" s="656"/>
      <c r="B28" s="685"/>
      <c r="C28" s="2153" t="s">
        <v>3084</v>
      </c>
      <c r="D28" s="2153"/>
      <c r="E28" s="1528"/>
      <c r="F28" s="1528"/>
      <c r="G28" s="1528"/>
      <c r="H28" s="1528"/>
      <c r="I28" s="1528"/>
      <c r="J28" s="1528"/>
      <c r="K28" s="1528"/>
      <c r="L28" s="1528"/>
      <c r="M28" s="1528"/>
      <c r="N28" s="1528"/>
      <c r="O28" s="1528"/>
      <c r="P28" s="1528"/>
      <c r="Q28" s="1528"/>
      <c r="R28" s="1528"/>
      <c r="S28" s="1528"/>
      <c r="T28" s="1528"/>
      <c r="U28" s="1528"/>
      <c r="V28" s="1528"/>
      <c r="W28" s="1528"/>
      <c r="X28" s="1528"/>
      <c r="Y28" s="1528"/>
      <c r="Z28" s="1528"/>
      <c r="AA28" s="1528"/>
      <c r="AB28" s="1528"/>
      <c r="AC28" s="1528"/>
      <c r="AD28" s="1528"/>
      <c r="AE28" s="1528"/>
      <c r="AF28" s="1528"/>
      <c r="AG28" s="1528"/>
      <c r="AH28" s="1528"/>
      <c r="AI28" s="1528"/>
      <c r="AJ28" s="1528"/>
      <c r="AK28" s="1528"/>
      <c r="AL28" s="1528"/>
      <c r="AM28" s="1528"/>
      <c r="AN28" s="1528"/>
      <c r="AO28" s="1528"/>
      <c r="AP28" s="2154"/>
      <c r="AQ28" s="684"/>
      <c r="AR28" s="680"/>
      <c r="AS28" s="2088" t="s">
        <v>3085</v>
      </c>
      <c r="AT28" s="1525"/>
      <c r="AU28" s="1525"/>
      <c r="AV28" s="1525"/>
      <c r="AW28" s="1525"/>
      <c r="AX28" s="1525"/>
      <c r="AY28" s="1525"/>
      <c r="AZ28" s="1525"/>
      <c r="BA28" s="1525"/>
      <c r="BB28" s="1525"/>
      <c r="BC28" s="1525"/>
      <c r="BD28" s="1525"/>
      <c r="BE28" s="1525"/>
      <c r="BF28" s="1525"/>
      <c r="BG28" s="2055"/>
      <c r="BH28" s="651"/>
    </row>
    <row r="29" spans="1:133" ht="13.5" customHeight="1">
      <c r="A29" s="672"/>
      <c r="B29" s="673"/>
      <c r="C29" s="681">
        <v>1</v>
      </c>
      <c r="D29" s="681"/>
      <c r="E29" s="681">
        <v>2</v>
      </c>
      <c r="F29" s="681"/>
      <c r="G29" s="681">
        <v>3</v>
      </c>
      <c r="H29" s="681"/>
      <c r="I29" s="681">
        <v>4</v>
      </c>
      <c r="J29" s="681"/>
      <c r="K29" s="681">
        <v>5</v>
      </c>
      <c r="L29" s="681"/>
      <c r="M29" s="681">
        <v>6</v>
      </c>
      <c r="N29" s="681"/>
      <c r="O29" s="681">
        <v>7</v>
      </c>
      <c r="P29" s="681"/>
      <c r="Q29" s="681">
        <v>8</v>
      </c>
      <c r="R29" s="681"/>
      <c r="S29" s="681">
        <v>9</v>
      </c>
      <c r="T29" s="681"/>
      <c r="U29" s="681">
        <v>10</v>
      </c>
      <c r="V29" s="681"/>
      <c r="W29" s="681">
        <v>11</v>
      </c>
      <c r="X29" s="681"/>
      <c r="Y29" s="681">
        <v>12</v>
      </c>
      <c r="Z29" s="2143" t="s">
        <v>215</v>
      </c>
      <c r="AA29" s="2144"/>
      <c r="AB29" s="2145"/>
      <c r="AC29" s="2145"/>
      <c r="AD29" s="2145"/>
      <c r="AE29" s="688" t="s">
        <v>210</v>
      </c>
      <c r="AF29" s="688"/>
      <c r="AG29" s="688" t="s">
        <v>211</v>
      </c>
      <c r="AH29" s="688"/>
      <c r="AI29" s="688" t="s">
        <v>197</v>
      </c>
      <c r="AJ29" s="688"/>
      <c r="AK29" s="688" t="s">
        <v>198</v>
      </c>
      <c r="AL29" s="688"/>
      <c r="AM29" s="688" t="s">
        <v>199</v>
      </c>
      <c r="AN29" s="688"/>
      <c r="AO29" s="688" t="s">
        <v>200</v>
      </c>
      <c r="AP29" s="687"/>
      <c r="AQ29" s="2146"/>
      <c r="AR29" s="1525"/>
      <c r="AS29" s="1525"/>
      <c r="AT29" s="1525"/>
      <c r="AU29" s="1525"/>
      <c r="AV29" s="1525"/>
      <c r="AW29" s="1525"/>
      <c r="AX29" s="1525"/>
      <c r="AY29" s="1525"/>
      <c r="AZ29" s="1525"/>
      <c r="BA29" s="1525"/>
      <c r="BB29" s="1525"/>
      <c r="BC29" s="1525"/>
      <c r="BD29" s="1525"/>
      <c r="BE29" s="1525"/>
      <c r="BF29" s="1525"/>
      <c r="BG29" s="2055"/>
      <c r="BH29" s="651"/>
    </row>
    <row r="30" spans="1:133" ht="13.5" customHeight="1">
      <c r="A30" s="2132"/>
      <c r="B30" s="2055"/>
      <c r="C30" s="680"/>
      <c r="D30" s="683"/>
      <c r="E30" s="680"/>
      <c r="F30" s="683"/>
      <c r="G30" s="680"/>
      <c r="H30" s="683"/>
      <c r="I30" s="680"/>
      <c r="J30" s="683"/>
      <c r="K30" s="680"/>
      <c r="L30" s="683"/>
      <c r="M30" s="680"/>
      <c r="N30" s="683"/>
      <c r="O30" s="680"/>
      <c r="P30" s="683"/>
      <c r="Q30" s="680"/>
      <c r="R30" s="683"/>
      <c r="S30" s="680"/>
      <c r="T30" s="683"/>
      <c r="U30" s="680"/>
      <c r="V30" s="683"/>
      <c r="W30" s="680"/>
      <c r="X30" s="683"/>
      <c r="Y30" s="680"/>
      <c r="Z30" s="683"/>
      <c r="AA30" s="680"/>
      <c r="AB30" s="2148" t="s">
        <v>3083</v>
      </c>
      <c r="AC30" s="2149"/>
      <c r="AD30" s="2149"/>
      <c r="AE30" s="680"/>
      <c r="AF30" s="683"/>
      <c r="AG30" s="680"/>
      <c r="AH30" s="683"/>
      <c r="AI30" s="680"/>
      <c r="AJ30" s="683"/>
      <c r="AK30" s="680"/>
      <c r="AL30" s="683"/>
      <c r="AM30" s="680"/>
      <c r="AN30" s="683"/>
      <c r="AO30" s="680"/>
      <c r="AP30" s="687"/>
      <c r="AQ30" s="684"/>
      <c r="AR30" s="680"/>
      <c r="AS30" s="2088" t="s">
        <v>3086</v>
      </c>
      <c r="AT30" s="1525"/>
      <c r="AU30" s="1525"/>
      <c r="AV30" s="1525"/>
      <c r="AW30" s="1525"/>
      <c r="AX30" s="1525"/>
      <c r="AY30" s="1525"/>
      <c r="AZ30" s="1525"/>
      <c r="BA30" s="1525"/>
      <c r="BB30" s="1525"/>
      <c r="BC30" s="1525"/>
      <c r="BD30" s="1525"/>
      <c r="BE30" s="1525"/>
      <c r="BF30" s="1525"/>
      <c r="BG30" s="2055"/>
      <c r="BH30" s="651"/>
      <c r="BN30" s="651">
        <f>+IF(EXACT(AA30,"X"),12,0)</f>
        <v>0</v>
      </c>
      <c r="BO30" s="651">
        <f>+IF(EXACT(C30,"X"),1,0)</f>
        <v>0</v>
      </c>
      <c r="BP30" s="651">
        <f>+IF(EXACT(E30,"X"),1,0)</f>
        <v>0</v>
      </c>
      <c r="BQ30" s="651">
        <f>+IF(EXACT(G30,"X"),1,0)</f>
        <v>0</v>
      </c>
      <c r="BR30" s="651">
        <f>+IF(EXACT(I30,"X"),1,0)</f>
        <v>0</v>
      </c>
      <c r="BS30" s="651">
        <f>+IF(EXACT(K30,"X"),1,0)</f>
        <v>0</v>
      </c>
      <c r="BT30" s="651">
        <f>+IF(EXACT(M30,"X"),1,0)</f>
        <v>0</v>
      </c>
      <c r="BU30" s="651">
        <f>+IF(EXACT(O30,"X"),1,0)</f>
        <v>0</v>
      </c>
      <c r="BV30" s="651">
        <f>+IF(EXACT(Q30,"X"),1,0)</f>
        <v>0</v>
      </c>
      <c r="BW30" s="651">
        <f>+IF(EXACT(S30,"X"),1,0)</f>
        <v>0</v>
      </c>
      <c r="BX30" s="651">
        <f>+IF(EXACT(U30,"X"),1,0)</f>
        <v>0</v>
      </c>
      <c r="BY30" s="651">
        <f>+IF(EXACT(W30,"X"),1,0)</f>
        <v>0</v>
      </c>
      <c r="BZ30" s="651">
        <f>+IF(EXACT(Y30,"X"),1,0)</f>
        <v>0</v>
      </c>
      <c r="CA30" s="651">
        <f>+IF(BN30=12,12,+SUM(BO30:BZ30))</f>
        <v>0</v>
      </c>
    </row>
    <row r="31" spans="1:133" ht="13.5" customHeight="1">
      <c r="A31" s="672"/>
      <c r="B31" s="673"/>
      <c r="C31" s="2157" t="s">
        <v>3087</v>
      </c>
      <c r="D31" s="2158"/>
      <c r="E31" s="2158"/>
      <c r="F31" s="2158"/>
      <c r="G31" s="2158"/>
      <c r="H31" s="2158"/>
      <c r="I31" s="2158"/>
      <c r="J31" s="2158"/>
      <c r="K31" s="2158"/>
      <c r="L31" s="2159" t="s">
        <v>3088</v>
      </c>
      <c r="M31" s="2160"/>
      <c r="N31" s="2160"/>
      <c r="O31" s="2160"/>
      <c r="P31" s="2160"/>
      <c r="Q31" s="2160"/>
      <c r="R31" s="2160"/>
      <c r="S31" s="2160"/>
      <c r="T31" s="2160"/>
      <c r="U31" s="2160"/>
      <c r="V31" s="2160"/>
      <c r="W31" s="2160"/>
      <c r="X31" s="2160"/>
      <c r="Y31" s="2160"/>
      <c r="Z31" s="2160"/>
      <c r="AA31" s="2160"/>
      <c r="AB31" s="2160"/>
      <c r="AC31" s="2160"/>
      <c r="AD31" s="2160"/>
      <c r="AE31" s="2160"/>
      <c r="AF31" s="2160"/>
      <c r="AG31" s="2160"/>
      <c r="AH31" s="2160"/>
      <c r="AI31" s="2160"/>
      <c r="AJ31" s="2160"/>
      <c r="AK31" s="2160"/>
      <c r="AL31" s="2160"/>
      <c r="AM31" s="2160"/>
      <c r="AN31" s="2160"/>
      <c r="AO31" s="2160"/>
      <c r="AP31" s="689"/>
      <c r="AQ31" s="2146"/>
      <c r="AR31" s="1525"/>
      <c r="AS31" s="1525"/>
      <c r="AT31" s="1525"/>
      <c r="AU31" s="1525"/>
      <c r="AV31" s="1525"/>
      <c r="AW31" s="1525"/>
      <c r="AX31" s="1525"/>
      <c r="AY31" s="1525"/>
      <c r="AZ31" s="1525"/>
      <c r="BA31" s="1525"/>
      <c r="BB31" s="1525"/>
      <c r="BC31" s="1525"/>
      <c r="BD31" s="1525"/>
      <c r="BE31" s="1525"/>
      <c r="BF31" s="1525"/>
      <c r="BG31" s="2055"/>
      <c r="BH31" s="651"/>
    </row>
    <row r="32" spans="1:133" ht="24" customHeight="1">
      <c r="A32" s="672"/>
      <c r="B32" s="673"/>
      <c r="C32" s="2158"/>
      <c r="D32" s="2158"/>
      <c r="E32" s="2158"/>
      <c r="F32" s="2158"/>
      <c r="G32" s="2158"/>
      <c r="H32" s="2158"/>
      <c r="I32" s="2158"/>
      <c r="J32" s="2158"/>
      <c r="K32" s="2158"/>
      <c r="L32" s="2165"/>
      <c r="M32" s="2166"/>
      <c r="N32" s="2166"/>
      <c r="O32" s="2166"/>
      <c r="P32" s="2166"/>
      <c r="Q32" s="2166"/>
      <c r="R32" s="2166"/>
      <c r="S32" s="2166"/>
      <c r="T32" s="2166"/>
      <c r="U32" s="2166"/>
      <c r="V32" s="2166"/>
      <c r="W32" s="2166"/>
      <c r="X32" s="2166"/>
      <c r="Y32" s="2166"/>
      <c r="Z32" s="2166"/>
      <c r="AA32" s="2167"/>
      <c r="AB32" s="682"/>
      <c r="AC32" s="2168"/>
      <c r="AD32" s="2169"/>
      <c r="AE32" s="2169"/>
      <c r="AF32" s="2169"/>
      <c r="AG32" s="2169"/>
      <c r="AH32" s="2169"/>
      <c r="AI32" s="2169"/>
      <c r="AJ32" s="2169"/>
      <c r="AK32" s="2169"/>
      <c r="AL32" s="2169"/>
      <c r="AM32" s="2169"/>
      <c r="AN32" s="2169"/>
      <c r="AO32" s="2170"/>
      <c r="AP32" s="671"/>
      <c r="AQ32" s="2161"/>
      <c r="AR32" s="1525"/>
      <c r="AS32" s="1525"/>
      <c r="AT32" s="1525"/>
      <c r="AU32" s="1525"/>
      <c r="AV32" s="1525"/>
      <c r="AW32" s="1525"/>
      <c r="AX32" s="1525"/>
      <c r="AY32" s="1525"/>
      <c r="AZ32" s="1525"/>
      <c r="BA32" s="1525"/>
      <c r="BB32" s="1525"/>
      <c r="BC32" s="1525"/>
      <c r="BD32" s="1525"/>
      <c r="BE32" s="1525"/>
      <c r="BF32" s="1525"/>
      <c r="BG32" s="2055"/>
      <c r="BH32" s="651"/>
    </row>
    <row r="33" spans="1:70" ht="12" customHeight="1">
      <c r="A33" s="2171"/>
      <c r="B33" s="2172"/>
      <c r="C33" s="2163"/>
      <c r="D33" s="2163"/>
      <c r="E33" s="2163"/>
      <c r="F33" s="2163"/>
      <c r="G33" s="2163"/>
      <c r="H33" s="2163"/>
      <c r="I33" s="2163"/>
      <c r="J33" s="2163"/>
      <c r="K33" s="2163"/>
      <c r="L33" s="2163"/>
      <c r="M33" s="2163"/>
      <c r="N33" s="2163"/>
      <c r="O33" s="2163"/>
      <c r="P33" s="2163"/>
      <c r="Q33" s="2163"/>
      <c r="R33" s="2163"/>
      <c r="S33" s="2163"/>
      <c r="T33" s="2163"/>
      <c r="U33" s="2163"/>
      <c r="V33" s="2163"/>
      <c r="W33" s="2163"/>
      <c r="X33" s="2163"/>
      <c r="Y33" s="2163"/>
      <c r="Z33" s="2163"/>
      <c r="AA33" s="2163"/>
      <c r="AB33" s="2163"/>
      <c r="AC33" s="2163"/>
      <c r="AD33" s="2163"/>
      <c r="AE33" s="2163"/>
      <c r="AF33" s="2163"/>
      <c r="AG33" s="2163"/>
      <c r="AH33" s="2163"/>
      <c r="AI33" s="2163"/>
      <c r="AJ33" s="2163"/>
      <c r="AK33" s="2163"/>
      <c r="AL33" s="2163"/>
      <c r="AM33" s="2163"/>
      <c r="AN33" s="2163"/>
      <c r="AO33" s="2163"/>
      <c r="AP33" s="2164"/>
      <c r="AQ33" s="2162"/>
      <c r="AR33" s="2163"/>
      <c r="AS33" s="2163"/>
      <c r="AT33" s="2163"/>
      <c r="AU33" s="2163"/>
      <c r="AV33" s="2163"/>
      <c r="AW33" s="2163"/>
      <c r="AX33" s="2163"/>
      <c r="AY33" s="2163"/>
      <c r="AZ33" s="2163"/>
      <c r="BA33" s="2163"/>
      <c r="BB33" s="2163"/>
      <c r="BC33" s="2163"/>
      <c r="BD33" s="2163"/>
      <c r="BE33" s="2163"/>
      <c r="BF33" s="2163"/>
      <c r="BG33" s="2164"/>
      <c r="BH33" s="651"/>
    </row>
    <row r="34" spans="1:70" ht="15" customHeight="1">
      <c r="A34" s="2101" t="s">
        <v>3089</v>
      </c>
      <c r="B34" s="2091"/>
      <c r="C34" s="2091"/>
      <c r="D34" s="2091"/>
      <c r="E34" s="2091"/>
      <c r="F34" s="2091"/>
      <c r="G34" s="2091"/>
      <c r="H34" s="2091"/>
      <c r="I34" s="2091"/>
      <c r="J34" s="2091"/>
      <c r="K34" s="2091"/>
      <c r="L34" s="2091"/>
      <c r="M34" s="2091"/>
      <c r="N34" s="2091"/>
      <c r="O34" s="2091"/>
      <c r="P34" s="2091"/>
      <c r="Q34" s="2091"/>
      <c r="R34" s="2091"/>
      <c r="S34" s="2091"/>
      <c r="T34" s="2091"/>
      <c r="U34" s="2091"/>
      <c r="V34" s="2091"/>
      <c r="W34" s="2091"/>
      <c r="X34" s="2091"/>
      <c r="Y34" s="2091"/>
      <c r="Z34" s="2091"/>
      <c r="AA34" s="2091"/>
      <c r="AB34" s="2091"/>
      <c r="AC34" s="2091"/>
      <c r="AD34" s="2091"/>
      <c r="AE34" s="2091"/>
      <c r="AF34" s="2091"/>
      <c r="AG34" s="2096"/>
      <c r="AH34" s="675"/>
      <c r="AI34" s="2189" t="s">
        <v>3090</v>
      </c>
      <c r="AJ34" s="2190"/>
      <c r="AK34" s="2190"/>
      <c r="AL34" s="2190"/>
      <c r="AM34" s="2190"/>
      <c r="AN34" s="2190"/>
      <c r="AO34" s="2190"/>
      <c r="AP34" s="2190"/>
      <c r="AQ34" s="2190"/>
      <c r="AR34" s="2190"/>
      <c r="AS34" s="2190"/>
      <c r="AT34" s="2190"/>
      <c r="AU34" s="2190"/>
      <c r="AV34" s="2190"/>
      <c r="AW34" s="2190"/>
      <c r="AX34" s="2190"/>
      <c r="AY34" s="2190"/>
      <c r="AZ34" s="2190"/>
      <c r="BA34" s="2190"/>
      <c r="BB34" s="2190"/>
      <c r="BC34" s="2190"/>
      <c r="BD34" s="2190"/>
      <c r="BE34" s="2190"/>
      <c r="BF34" s="2190"/>
      <c r="BG34" s="2191"/>
      <c r="BH34" s="651"/>
    </row>
    <row r="35" spans="1:70" ht="20.100000000000001" customHeight="1">
      <c r="A35" s="672"/>
      <c r="B35" s="673"/>
      <c r="C35" s="2192"/>
      <c r="D35" s="2192"/>
      <c r="E35" s="2192"/>
      <c r="F35" s="2192"/>
      <c r="G35" s="2192"/>
      <c r="H35" s="2192"/>
      <c r="I35" s="2192"/>
      <c r="J35" s="2192"/>
      <c r="K35" s="2192"/>
      <c r="L35" s="2192"/>
      <c r="M35" s="2192"/>
      <c r="N35" s="2192"/>
      <c r="O35" s="2192"/>
      <c r="P35" s="690"/>
      <c r="Q35" s="2193" t="s">
        <v>3091</v>
      </c>
      <c r="R35" s="2193"/>
      <c r="S35" s="2193"/>
      <c r="T35" s="2193"/>
      <c r="U35" s="2193"/>
      <c r="V35" s="2193"/>
      <c r="W35" s="2193"/>
      <c r="X35" s="2193"/>
      <c r="Y35" s="2193"/>
      <c r="Z35" s="2193"/>
      <c r="AA35" s="2193"/>
      <c r="AB35" s="2193"/>
      <c r="AC35" s="2193"/>
      <c r="AD35" s="2193"/>
      <c r="AE35" s="673"/>
      <c r="AF35" s="673"/>
      <c r="AG35" s="686"/>
      <c r="AH35" s="2194"/>
      <c r="AI35" s="2141"/>
      <c r="AJ35" s="2195"/>
      <c r="AK35" s="2141"/>
      <c r="AL35" s="2141"/>
      <c r="AM35" s="2141"/>
      <c r="AN35" s="2141"/>
      <c r="AO35" s="2141"/>
      <c r="AP35" s="2141"/>
      <c r="AQ35" s="2141"/>
      <c r="AR35" s="2141"/>
      <c r="AS35" s="2196" t="s">
        <v>3092</v>
      </c>
      <c r="AT35" s="2197"/>
      <c r="AU35" s="2197"/>
      <c r="AV35" s="2197"/>
      <c r="AW35" s="2197"/>
      <c r="AX35" s="2197"/>
      <c r="AY35" s="2197"/>
      <c r="AZ35" s="2197"/>
      <c r="BA35" s="2197"/>
      <c r="BB35" s="2197"/>
      <c r="BC35" s="2197"/>
      <c r="BD35" s="2197"/>
      <c r="BE35" s="2197"/>
      <c r="BF35" s="2197"/>
      <c r="BG35" s="2198"/>
      <c r="BH35" s="651"/>
    </row>
    <row r="36" spans="1:70" ht="24" customHeight="1">
      <c r="A36" s="691"/>
      <c r="B36" s="692"/>
      <c r="C36" s="2173" t="s">
        <v>3093</v>
      </c>
      <c r="D36" s="1528"/>
      <c r="E36" s="1528"/>
      <c r="F36" s="1528"/>
      <c r="G36" s="1528"/>
      <c r="H36" s="1528"/>
      <c r="I36" s="1528"/>
      <c r="J36" s="1528"/>
      <c r="K36" s="2154"/>
      <c r="L36" s="2199">
        <f>+IF(AND('1Př1'!F11=0,'1Př1'!F12=0),+'1Př1'!F14+'1Př1'!F15-'1Př1'!F17+'1Př1'!F19+'1Př1'!F22-('1Př1'!F12+'1Př1'!F16-'1Př1'!F18+'1Př1'!F20),+'1Př1'!F11+'1Př1'!F15-'1Př1'!F17+'1Př1'!F19+'1Př1'!F22-('1Př1'!F12+'1Př1'!F16-'1Př1'!F18+'1Př1'!F20))</f>
        <v>0</v>
      </c>
      <c r="M36" s="2200"/>
      <c r="N36" s="2200"/>
      <c r="O36" s="2200"/>
      <c r="P36" s="2200"/>
      <c r="Q36" s="2200"/>
      <c r="R36" s="2200"/>
      <c r="S36" s="2200"/>
      <c r="T36" s="2200"/>
      <c r="U36" s="2200"/>
      <c r="V36" s="2200"/>
      <c r="W36" s="2200"/>
      <c r="X36" s="2200"/>
      <c r="Y36" s="2200"/>
      <c r="Z36" s="2200"/>
      <c r="AA36" s="2200"/>
      <c r="AB36" s="2200"/>
      <c r="AC36" s="2201"/>
      <c r="AD36" s="2179" t="s">
        <v>186</v>
      </c>
      <c r="AE36" s="1528"/>
      <c r="AF36" s="1528"/>
      <c r="AG36" s="2154"/>
      <c r="AH36" s="2161"/>
      <c r="AI36" s="1525"/>
      <c r="AJ36" s="695"/>
      <c r="AK36" s="2173" t="s">
        <v>3094</v>
      </c>
      <c r="AL36" s="2174"/>
      <c r="AM36" s="2174"/>
      <c r="AN36" s="2174"/>
      <c r="AO36" s="2174"/>
      <c r="AP36" s="2174"/>
      <c r="AQ36" s="2174"/>
      <c r="AR36" s="2174"/>
      <c r="AS36" s="2174"/>
      <c r="AT36" s="2175"/>
      <c r="AU36" s="2176">
        <v>0</v>
      </c>
      <c r="AV36" s="2177"/>
      <c r="AW36" s="2177"/>
      <c r="AX36" s="2177"/>
      <c r="AY36" s="2177"/>
      <c r="AZ36" s="2177"/>
      <c r="BA36" s="2177"/>
      <c r="BB36" s="2177"/>
      <c r="BC36" s="2178"/>
      <c r="BD36" s="2179" t="s">
        <v>186</v>
      </c>
      <c r="BE36" s="2180"/>
      <c r="BF36" s="2180"/>
      <c r="BG36" s="2181"/>
      <c r="BH36" s="651"/>
    </row>
    <row r="37" spans="1:70" ht="21" customHeight="1">
      <c r="A37" s="691"/>
      <c r="B37" s="692"/>
      <c r="C37" s="696"/>
      <c r="D37" s="696"/>
      <c r="E37" s="697"/>
      <c r="F37" s="697"/>
      <c r="G37" s="697"/>
      <c r="H37" s="697"/>
      <c r="I37" s="697"/>
      <c r="J37" s="697"/>
      <c r="K37" s="2182" t="s">
        <v>3095</v>
      </c>
      <c r="L37" s="2183"/>
      <c r="M37" s="2183"/>
      <c r="N37" s="2183"/>
      <c r="O37" s="2183"/>
      <c r="P37" s="2183"/>
      <c r="Q37" s="2183"/>
      <c r="R37" s="2183"/>
      <c r="S37" s="2183"/>
      <c r="T37" s="2183"/>
      <c r="U37" s="2183"/>
      <c r="V37" s="2183"/>
      <c r="W37" s="2183"/>
      <c r="X37" s="2183"/>
      <c r="Y37" s="2183"/>
      <c r="Z37" s="2183"/>
      <c r="AA37" s="2183"/>
      <c r="AB37" s="2183"/>
      <c r="AC37" s="2183"/>
      <c r="AD37" s="2183"/>
      <c r="AE37" s="2183"/>
      <c r="AF37" s="2183"/>
      <c r="AG37" s="2184"/>
      <c r="AH37" s="2161"/>
      <c r="AI37" s="1525"/>
      <c r="AJ37" s="2185"/>
      <c r="AK37" s="2186"/>
      <c r="AL37" s="2186"/>
      <c r="AM37" s="2186"/>
      <c r="AN37" s="2186"/>
      <c r="AO37" s="2186"/>
      <c r="AP37" s="2186"/>
      <c r="AQ37" s="2186"/>
      <c r="AR37" s="2186"/>
      <c r="AS37" s="2187" t="s">
        <v>3096</v>
      </c>
      <c r="AT37" s="2039"/>
      <c r="AU37" s="2039"/>
      <c r="AV37" s="2039"/>
      <c r="AW37" s="2039"/>
      <c r="AX37" s="2039"/>
      <c r="AY37" s="2039"/>
      <c r="AZ37" s="2039"/>
      <c r="BA37" s="2039"/>
      <c r="BB37" s="2039"/>
      <c r="BC37" s="2039"/>
      <c r="BD37" s="2039"/>
      <c r="BE37" s="2039"/>
      <c r="BF37" s="2039"/>
      <c r="BG37" s="2188"/>
      <c r="BH37" s="651"/>
    </row>
    <row r="38" spans="1:70" ht="24" customHeight="1">
      <c r="A38" s="691"/>
      <c r="B38" s="692"/>
      <c r="C38" s="2173" t="s">
        <v>3097</v>
      </c>
      <c r="D38" s="1528"/>
      <c r="E38" s="1528"/>
      <c r="F38" s="1528"/>
      <c r="G38" s="1528"/>
      <c r="H38" s="1528"/>
      <c r="I38" s="1528"/>
      <c r="J38" s="1528"/>
      <c r="K38" s="1528"/>
      <c r="L38" s="1528"/>
      <c r="M38" s="1528"/>
      <c r="N38" s="1528"/>
      <c r="O38" s="1528"/>
      <c r="P38" s="1528"/>
      <c r="Q38" s="1528"/>
      <c r="R38" s="1528"/>
      <c r="S38" s="1528"/>
      <c r="T38" s="2154"/>
      <c r="U38" s="2213">
        <f>+'1Př2'!G3</f>
        <v>12</v>
      </c>
      <c r="V38" s="2214"/>
      <c r="W38" s="2214"/>
      <c r="X38" s="2215"/>
      <c r="Y38" s="2208"/>
      <c r="Z38" s="1528"/>
      <c r="AA38" s="1528"/>
      <c r="AB38" s="1528"/>
      <c r="AC38" s="1528"/>
      <c r="AD38" s="1528"/>
      <c r="AE38" s="1528"/>
      <c r="AF38" s="1528"/>
      <c r="AG38" s="2154"/>
      <c r="AH38" s="2161"/>
      <c r="AI38" s="1525"/>
      <c r="AJ38" s="670"/>
      <c r="AK38" s="2173" t="s">
        <v>3098</v>
      </c>
      <c r="AL38" s="2174"/>
      <c r="AM38" s="2174"/>
      <c r="AN38" s="2174"/>
      <c r="AO38" s="2174"/>
      <c r="AP38" s="2174"/>
      <c r="AQ38" s="2174"/>
      <c r="AR38" s="2174"/>
      <c r="AS38" s="2174"/>
      <c r="AT38" s="2175"/>
      <c r="AU38" s="2216">
        <f>+AU36-Q54</f>
        <v>-37712</v>
      </c>
      <c r="AV38" s="2217"/>
      <c r="AW38" s="2217"/>
      <c r="AX38" s="2217"/>
      <c r="AY38" s="2217"/>
      <c r="AZ38" s="2217"/>
      <c r="BA38" s="2217"/>
      <c r="BB38" s="2217"/>
      <c r="BC38" s="2218"/>
      <c r="BD38" s="2179" t="s">
        <v>186</v>
      </c>
      <c r="BE38" s="2180"/>
      <c r="BF38" s="2180"/>
      <c r="BG38" s="2181"/>
      <c r="BH38" s="651"/>
    </row>
    <row r="39" spans="1:70" ht="21" customHeight="1">
      <c r="A39" s="691"/>
      <c r="B39" s="692"/>
      <c r="C39" s="696"/>
      <c r="D39" s="696"/>
      <c r="E39" s="697"/>
      <c r="F39" s="697"/>
      <c r="G39" s="697"/>
      <c r="H39" s="697"/>
      <c r="I39" s="697"/>
      <c r="J39" s="697"/>
      <c r="K39" s="2182" t="s">
        <v>3099</v>
      </c>
      <c r="L39" s="2183"/>
      <c r="M39" s="2183"/>
      <c r="N39" s="2183"/>
      <c r="O39" s="2183"/>
      <c r="P39" s="2183"/>
      <c r="Q39" s="2183"/>
      <c r="R39" s="2183"/>
      <c r="S39" s="2183"/>
      <c r="T39" s="2183"/>
      <c r="U39" s="2183"/>
      <c r="V39" s="2183"/>
      <c r="W39" s="2183"/>
      <c r="X39" s="2183"/>
      <c r="Y39" s="2183"/>
      <c r="Z39" s="2183"/>
      <c r="AA39" s="2183"/>
      <c r="AB39" s="2183"/>
      <c r="AC39" s="2183"/>
      <c r="AD39" s="2183"/>
      <c r="AE39" s="2183"/>
      <c r="AF39" s="2183"/>
      <c r="AG39" s="2184"/>
      <c r="AH39" s="2161"/>
      <c r="AI39" s="1525"/>
      <c r="AJ39" s="2185"/>
      <c r="AK39" s="1528"/>
      <c r="AL39" s="1528"/>
      <c r="AM39" s="1528"/>
      <c r="AN39" s="1528"/>
      <c r="AO39" s="1528"/>
      <c r="AP39" s="1528"/>
      <c r="AQ39" s="1528"/>
      <c r="AR39" s="1528"/>
      <c r="AS39" s="1528"/>
      <c r="AT39" s="1528"/>
      <c r="AU39" s="1528"/>
      <c r="AV39" s="1528"/>
      <c r="AW39" s="1528"/>
      <c r="AX39" s="1528"/>
      <c r="AY39" s="1528"/>
      <c r="AZ39" s="1528"/>
      <c r="BA39" s="1528"/>
      <c r="BB39" s="1528"/>
      <c r="BC39" s="1528"/>
      <c r="BD39" s="1528"/>
      <c r="BE39" s="1528"/>
      <c r="BF39" s="1528"/>
      <c r="BG39" s="2154"/>
      <c r="BH39" s="651"/>
    </row>
    <row r="40" spans="1:70" ht="10.5" customHeight="1">
      <c r="A40" s="698"/>
      <c r="B40" s="692"/>
      <c r="C40" s="2173" t="s">
        <v>3100</v>
      </c>
      <c r="D40" s="1528"/>
      <c r="E40" s="1528"/>
      <c r="F40" s="1528"/>
      <c r="G40" s="1528"/>
      <c r="H40" s="1528"/>
      <c r="I40" s="1528"/>
      <c r="J40" s="1528"/>
      <c r="K40" s="1528"/>
      <c r="L40" s="1528"/>
      <c r="M40" s="1528"/>
      <c r="N40" s="1528"/>
      <c r="O40" s="1528"/>
      <c r="P40" s="1528"/>
      <c r="Q40" s="1528"/>
      <c r="R40" s="1528"/>
      <c r="S40" s="1528"/>
      <c r="T40" s="1528"/>
      <c r="U40" s="2202">
        <v>12</v>
      </c>
      <c r="V40" s="2203"/>
      <c r="W40" s="2203"/>
      <c r="X40" s="2204"/>
      <c r="Y40" s="2208"/>
      <c r="Z40" s="1528"/>
      <c r="AA40" s="1528"/>
      <c r="AB40" s="1528"/>
      <c r="AC40" s="1528"/>
      <c r="AD40" s="1528"/>
      <c r="AE40" s="1528"/>
      <c r="AF40" s="1528"/>
      <c r="AG40" s="2154"/>
      <c r="AH40" s="2161"/>
      <c r="AI40" s="1525"/>
      <c r="AJ40" s="2180" t="s">
        <v>3101</v>
      </c>
      <c r="AK40" s="2210"/>
      <c r="AL40" s="2210"/>
      <c r="AM40" s="2210"/>
      <c r="AN40" s="2210"/>
      <c r="AO40" s="2210"/>
      <c r="AP40" s="2210"/>
      <c r="AQ40" s="2210"/>
      <c r="AR40" s="2210"/>
      <c r="AS40" s="2210"/>
      <c r="AT40" s="2210"/>
      <c r="AU40" s="2210"/>
      <c r="AV40" s="2210"/>
      <c r="AW40" s="2210"/>
      <c r="AX40" s="2210"/>
      <c r="AY40" s="2210"/>
      <c r="AZ40" s="2210"/>
      <c r="BA40" s="2210"/>
      <c r="BB40" s="2210"/>
      <c r="BC40" s="2210"/>
      <c r="BD40" s="2210"/>
      <c r="BE40" s="2210"/>
      <c r="BF40" s="2210"/>
      <c r="BG40" s="2211"/>
      <c r="BH40" s="651"/>
    </row>
    <row r="41" spans="1:70" ht="13.5" customHeight="1">
      <c r="A41" s="698"/>
      <c r="B41" s="692"/>
      <c r="C41" s="1528"/>
      <c r="D41" s="1528"/>
      <c r="E41" s="1528"/>
      <c r="F41" s="1528"/>
      <c r="G41" s="1528"/>
      <c r="H41" s="1528"/>
      <c r="I41" s="1528"/>
      <c r="J41" s="1528"/>
      <c r="K41" s="1528"/>
      <c r="L41" s="1528"/>
      <c r="M41" s="1528"/>
      <c r="N41" s="1528"/>
      <c r="O41" s="1528"/>
      <c r="P41" s="1528"/>
      <c r="Q41" s="1528"/>
      <c r="R41" s="1528"/>
      <c r="S41" s="1528"/>
      <c r="T41" s="1528"/>
      <c r="U41" s="2205"/>
      <c r="V41" s="2206"/>
      <c r="W41" s="2206"/>
      <c r="X41" s="2207"/>
      <c r="Y41" s="2209"/>
      <c r="Z41" s="1528"/>
      <c r="AA41" s="1528"/>
      <c r="AB41" s="1528"/>
      <c r="AC41" s="1528"/>
      <c r="AD41" s="1528"/>
      <c r="AE41" s="1528"/>
      <c r="AF41" s="1528"/>
      <c r="AG41" s="2154"/>
      <c r="AH41" s="682"/>
      <c r="AI41" s="680" t="str">
        <f>+IF(AU38&lt;0,"X"," ")</f>
        <v>X</v>
      </c>
      <c r="AJ41" s="2212" t="s">
        <v>3102</v>
      </c>
      <c r="AK41" s="1528"/>
      <c r="AL41" s="1528"/>
      <c r="AM41" s="1528"/>
      <c r="AN41" s="1528"/>
      <c r="AO41" s="1528"/>
      <c r="AP41" s="1528"/>
      <c r="AQ41" s="1528"/>
      <c r="AR41" s="1528"/>
      <c r="AS41" s="1528"/>
      <c r="AT41" s="1528"/>
      <c r="AU41" s="1528"/>
      <c r="AV41" s="1528"/>
      <c r="AW41" s="1528"/>
      <c r="AX41" s="1528"/>
      <c r="AY41" s="1528"/>
      <c r="AZ41" s="1528"/>
      <c r="BA41" s="1528"/>
      <c r="BB41" s="1528"/>
      <c r="BC41" s="1528"/>
      <c r="BD41" s="1528"/>
      <c r="BE41" s="1528"/>
      <c r="BF41" s="1528"/>
      <c r="BG41" s="2154"/>
      <c r="BH41" s="651"/>
    </row>
    <row r="42" spans="1:70" ht="7.5" customHeight="1">
      <c r="A42" s="698"/>
      <c r="B42" s="692"/>
      <c r="C42" s="693"/>
      <c r="D42" s="2144" t="s">
        <v>3103</v>
      </c>
      <c r="E42" s="2144"/>
      <c r="F42" s="2144"/>
      <c r="G42" s="2144"/>
      <c r="H42" s="2144"/>
      <c r="I42" s="2144"/>
      <c r="J42" s="2144"/>
      <c r="K42" s="2144"/>
      <c r="L42" s="2144"/>
      <c r="M42" s="2144"/>
      <c r="N42" s="2144"/>
      <c r="O42" s="2144"/>
      <c r="P42" s="2144"/>
      <c r="Q42" s="2144"/>
      <c r="R42" s="2144"/>
      <c r="S42" s="2144"/>
      <c r="T42" s="2144"/>
      <c r="U42" s="2144"/>
      <c r="V42" s="2144"/>
      <c r="W42" s="2144"/>
      <c r="X42" s="2144"/>
      <c r="Y42" s="2144"/>
      <c r="Z42" s="2144"/>
      <c r="AA42" s="2144"/>
      <c r="AB42" s="2144"/>
      <c r="AC42" s="2144"/>
      <c r="AD42" s="2144"/>
      <c r="AE42" s="2144"/>
      <c r="AF42" s="2144"/>
      <c r="AG42" s="2219"/>
      <c r="AH42" s="682"/>
      <c r="AI42" s="686"/>
      <c r="AJ42" s="670"/>
      <c r="AK42" s="670"/>
      <c r="AL42" s="670"/>
      <c r="AM42" s="700"/>
      <c r="AN42" s="700"/>
      <c r="AO42" s="700"/>
      <c r="AP42" s="700"/>
      <c r="AQ42" s="700"/>
      <c r="AR42" s="700"/>
      <c r="AS42" s="700"/>
      <c r="AT42" s="700"/>
      <c r="AU42" s="2220">
        <f>+MAX(0,AU38)</f>
        <v>0</v>
      </c>
      <c r="AV42" s="2221"/>
      <c r="AW42" s="2221"/>
      <c r="AX42" s="2221"/>
      <c r="AY42" s="2221"/>
      <c r="AZ42" s="2221"/>
      <c r="BA42" s="2221"/>
      <c r="BB42" s="2221"/>
      <c r="BC42" s="2221"/>
      <c r="BD42" s="2224" t="s">
        <v>186</v>
      </c>
      <c r="BE42" s="2225"/>
      <c r="BF42" s="2225"/>
      <c r="BG42" s="2226"/>
      <c r="BH42" s="651"/>
    </row>
    <row r="43" spans="1:70" ht="13.5" customHeight="1">
      <c r="A43" s="691"/>
      <c r="B43" s="692"/>
      <c r="C43" s="701"/>
      <c r="D43" s="2144"/>
      <c r="E43" s="2144"/>
      <c r="F43" s="2144"/>
      <c r="G43" s="2144"/>
      <c r="H43" s="2144"/>
      <c r="I43" s="2144"/>
      <c r="J43" s="2144"/>
      <c r="K43" s="2144"/>
      <c r="L43" s="2144"/>
      <c r="M43" s="2144"/>
      <c r="N43" s="2144"/>
      <c r="O43" s="2144"/>
      <c r="P43" s="2144"/>
      <c r="Q43" s="2144"/>
      <c r="R43" s="2144"/>
      <c r="S43" s="2144"/>
      <c r="T43" s="2144"/>
      <c r="U43" s="2144"/>
      <c r="V43" s="2144"/>
      <c r="W43" s="2144"/>
      <c r="X43" s="2144"/>
      <c r="Y43" s="2144"/>
      <c r="Z43" s="2144"/>
      <c r="AA43" s="2144"/>
      <c r="AB43" s="2144"/>
      <c r="AC43" s="2144"/>
      <c r="AD43" s="2144"/>
      <c r="AE43" s="2144"/>
      <c r="AF43" s="2144"/>
      <c r="AG43" s="2219"/>
      <c r="AH43" s="702"/>
      <c r="AI43" s="680" t="str">
        <f>+IF(AU38&gt;0,"X"," ")</f>
        <v xml:space="preserve"> </v>
      </c>
      <c r="AJ43" s="2227" t="s">
        <v>3104</v>
      </c>
      <c r="AK43" s="1525"/>
      <c r="AL43" s="1525"/>
      <c r="AM43" s="1525"/>
      <c r="AN43" s="1525"/>
      <c r="AO43" s="1525"/>
      <c r="AP43" s="1525"/>
      <c r="AQ43" s="1525"/>
      <c r="AR43" s="1525"/>
      <c r="AS43" s="1525"/>
      <c r="AT43" s="2055"/>
      <c r="AU43" s="2222"/>
      <c r="AV43" s="2223"/>
      <c r="AW43" s="2223"/>
      <c r="AX43" s="2223"/>
      <c r="AY43" s="2223"/>
      <c r="AZ43" s="2223"/>
      <c r="BA43" s="2223"/>
      <c r="BB43" s="2223"/>
      <c r="BC43" s="2223"/>
      <c r="BD43" s="2209"/>
      <c r="BE43" s="1528"/>
      <c r="BF43" s="1528"/>
      <c r="BG43" s="2154"/>
      <c r="BH43" s="651"/>
      <c r="BI43" s="546"/>
      <c r="BJ43" s="546"/>
      <c r="BK43" s="546"/>
      <c r="BL43" s="546"/>
      <c r="BM43" s="546"/>
      <c r="BN43" s="546"/>
      <c r="BO43" s="546"/>
      <c r="BP43" s="546"/>
      <c r="BQ43" s="546"/>
      <c r="BR43" s="546"/>
    </row>
    <row r="44" spans="1:70" ht="10.5" customHeight="1">
      <c r="A44" s="691"/>
      <c r="B44" s="692"/>
      <c r="C44" s="2173" t="s">
        <v>3105</v>
      </c>
      <c r="D44" s="1528"/>
      <c r="E44" s="1528"/>
      <c r="F44" s="1528"/>
      <c r="G44" s="1528"/>
      <c r="H44" s="1528"/>
      <c r="I44" s="1528"/>
      <c r="J44" s="1528"/>
      <c r="K44" s="1528"/>
      <c r="L44" s="1528"/>
      <c r="M44" s="1528"/>
      <c r="N44" s="1528"/>
      <c r="O44" s="1528"/>
      <c r="P44" s="1528"/>
      <c r="Q44" s="1528"/>
      <c r="R44" s="1528"/>
      <c r="S44" s="1528"/>
      <c r="T44" s="1528"/>
      <c r="U44" s="2202">
        <f>12-CA30</f>
        <v>12</v>
      </c>
      <c r="V44" s="2203"/>
      <c r="W44" s="2203"/>
      <c r="X44" s="2204"/>
      <c r="Y44" s="2228"/>
      <c r="Z44" s="1528"/>
      <c r="AA44" s="1528"/>
      <c r="AB44" s="1528"/>
      <c r="AC44" s="1528"/>
      <c r="AD44" s="1528"/>
      <c r="AE44" s="1528"/>
      <c r="AF44" s="1528"/>
      <c r="AG44" s="2154"/>
      <c r="AH44" s="2212"/>
      <c r="AI44" s="1528"/>
      <c r="AJ44" s="1528"/>
      <c r="AK44" s="1528"/>
      <c r="AL44" s="1528"/>
      <c r="AM44" s="1528"/>
      <c r="AN44" s="1528"/>
      <c r="AO44" s="1528"/>
      <c r="AP44" s="1528"/>
      <c r="AQ44" s="1528"/>
      <c r="AR44" s="1528"/>
      <c r="AS44" s="1528"/>
      <c r="AT44" s="1528"/>
      <c r="AU44" s="1528"/>
      <c r="AV44" s="1528"/>
      <c r="AW44" s="1528"/>
      <c r="AX44" s="1528"/>
      <c r="AY44" s="1528"/>
      <c r="AZ44" s="1528"/>
      <c r="BA44" s="1528"/>
      <c r="BB44" s="1528"/>
      <c r="BC44" s="1528"/>
      <c r="BD44" s="1528"/>
      <c r="BE44" s="1528"/>
      <c r="BF44" s="1528"/>
      <c r="BG44" s="2154"/>
      <c r="BH44" s="651"/>
      <c r="BI44" s="546"/>
      <c r="BJ44" s="546"/>
      <c r="BK44" s="546"/>
      <c r="BL44" s="546"/>
      <c r="BM44" s="546"/>
      <c r="BN44" s="546"/>
      <c r="BO44" s="546"/>
      <c r="BP44" s="546"/>
      <c r="BQ44" s="546"/>
      <c r="BR44" s="546"/>
    </row>
    <row r="45" spans="1:70" ht="13.5" customHeight="1">
      <c r="A45" s="691"/>
      <c r="B45" s="692"/>
      <c r="C45" s="1528"/>
      <c r="D45" s="1528"/>
      <c r="E45" s="1528"/>
      <c r="F45" s="1528"/>
      <c r="G45" s="1528"/>
      <c r="H45" s="1528"/>
      <c r="I45" s="1528"/>
      <c r="J45" s="1528"/>
      <c r="K45" s="1528"/>
      <c r="L45" s="1528"/>
      <c r="M45" s="1528"/>
      <c r="N45" s="1528"/>
      <c r="O45" s="1528"/>
      <c r="P45" s="1528"/>
      <c r="Q45" s="1528"/>
      <c r="R45" s="1528"/>
      <c r="S45" s="1528"/>
      <c r="T45" s="1528"/>
      <c r="U45" s="2205"/>
      <c r="V45" s="2206"/>
      <c r="W45" s="2206"/>
      <c r="X45" s="2207"/>
      <c r="Y45" s="1528"/>
      <c r="Z45" s="1528"/>
      <c r="AA45" s="1528"/>
      <c r="AB45" s="1528"/>
      <c r="AC45" s="1528"/>
      <c r="AD45" s="1528"/>
      <c r="AE45" s="1528"/>
      <c r="AF45" s="1528"/>
      <c r="AG45" s="2154"/>
      <c r="AH45" s="699"/>
      <c r="AI45" s="2229" t="s">
        <v>3106</v>
      </c>
      <c r="AJ45" s="2230"/>
      <c r="AK45" s="2230"/>
      <c r="AL45" s="2230"/>
      <c r="AM45" s="2230"/>
      <c r="AN45" s="2230"/>
      <c r="AO45" s="2230"/>
      <c r="AP45" s="2230"/>
      <c r="AQ45" s="2230"/>
      <c r="AR45" s="2231"/>
      <c r="AS45" s="680" t="str">
        <f>+AI43</f>
        <v xml:space="preserve"> </v>
      </c>
      <c r="AT45" s="2232" t="s">
        <v>3107</v>
      </c>
      <c r="AU45" s="1528"/>
      <c r="AV45" s="1528"/>
      <c r="AW45" s="1528"/>
      <c r="AX45" s="1528"/>
      <c r="AY45" s="1528"/>
      <c r="AZ45" s="1528"/>
      <c r="BA45" s="1528"/>
      <c r="BB45" s="1528"/>
      <c r="BC45" s="1528"/>
      <c r="BD45" s="1528"/>
      <c r="BE45" s="1528"/>
      <c r="BF45" s="1528"/>
      <c r="BG45" s="2154"/>
      <c r="BH45" s="651"/>
      <c r="BI45" s="546"/>
      <c r="BJ45" s="546"/>
      <c r="BK45" s="546"/>
      <c r="BL45" s="546"/>
      <c r="BM45" s="546"/>
      <c r="BN45" s="546"/>
      <c r="BO45" s="546"/>
      <c r="BP45" s="546"/>
      <c r="BQ45" s="546"/>
      <c r="BR45" s="546"/>
    </row>
    <row r="46" spans="1:70" ht="15.95" customHeight="1">
      <c r="A46" s="691"/>
      <c r="B46" s="692"/>
      <c r="C46" s="2233"/>
      <c r="D46" s="2233"/>
      <c r="E46" s="2233"/>
      <c r="F46" s="2233"/>
      <c r="G46" s="2233"/>
      <c r="H46" s="2233"/>
      <c r="I46" s="2233"/>
      <c r="J46" s="2233"/>
      <c r="K46" s="2233"/>
      <c r="L46" s="2233"/>
      <c r="M46" s="2233"/>
      <c r="N46" s="2233"/>
      <c r="O46" s="2233"/>
      <c r="P46" s="703"/>
      <c r="Q46" s="2234" t="s">
        <v>3108</v>
      </c>
      <c r="R46" s="2234"/>
      <c r="S46" s="2234"/>
      <c r="T46" s="2234"/>
      <c r="U46" s="2234"/>
      <c r="V46" s="2234"/>
      <c r="W46" s="2234"/>
      <c r="X46" s="2234"/>
      <c r="Y46" s="2234"/>
      <c r="Z46" s="2234"/>
      <c r="AA46" s="2234"/>
      <c r="AB46" s="2234"/>
      <c r="AC46" s="2234"/>
      <c r="AD46" s="2234"/>
      <c r="AE46" s="692"/>
      <c r="AF46" s="692"/>
      <c r="AG46" s="670"/>
      <c r="AH46" s="699"/>
      <c r="AI46" s="2229"/>
      <c r="AJ46" s="2230"/>
      <c r="AK46" s="2230"/>
      <c r="AL46" s="2230"/>
      <c r="AM46" s="2230"/>
      <c r="AN46" s="2230"/>
      <c r="AO46" s="2230"/>
      <c r="AP46" s="2230"/>
      <c r="AQ46" s="2230"/>
      <c r="AR46" s="2231"/>
      <c r="AS46" s="680"/>
      <c r="AT46" s="2232" t="s">
        <v>3109</v>
      </c>
      <c r="AU46" s="1528"/>
      <c r="AV46" s="1528"/>
      <c r="AW46" s="1528"/>
      <c r="AX46" s="1528"/>
      <c r="AY46" s="1528"/>
      <c r="AZ46" s="1528"/>
      <c r="BA46" s="1528"/>
      <c r="BB46" s="1528"/>
      <c r="BC46" s="1528"/>
      <c r="BD46" s="1528"/>
      <c r="BE46" s="1528"/>
      <c r="BF46" s="1528"/>
      <c r="BG46" s="2154"/>
      <c r="BH46" s="651"/>
      <c r="BI46" s="546"/>
      <c r="BJ46" s="546"/>
      <c r="BK46" s="546"/>
      <c r="BL46" s="546"/>
      <c r="BM46" s="546"/>
      <c r="BN46" s="546"/>
      <c r="BO46" s="546"/>
      <c r="BP46" s="546"/>
      <c r="BQ46" s="546"/>
      <c r="BR46" s="546"/>
    </row>
    <row r="47" spans="1:70" ht="9" customHeight="1">
      <c r="A47" s="691"/>
      <c r="B47" s="692"/>
      <c r="C47" s="2173" t="s">
        <v>3110</v>
      </c>
      <c r="D47" s="1528"/>
      <c r="E47" s="1528"/>
      <c r="F47" s="1528"/>
      <c r="G47" s="1528"/>
      <c r="H47" s="1528"/>
      <c r="I47" s="1528"/>
      <c r="J47" s="1528"/>
      <c r="K47" s="1528"/>
      <c r="L47" s="2235">
        <f>+U44*23278.5</f>
        <v>279342</v>
      </c>
      <c r="M47" s="2236"/>
      <c r="N47" s="2236"/>
      <c r="O47" s="2236"/>
      <c r="P47" s="2236"/>
      <c r="Q47" s="2236"/>
      <c r="R47" s="2236"/>
      <c r="S47" s="2236"/>
      <c r="T47" s="2236"/>
      <c r="U47" s="2236"/>
      <c r="V47" s="2236"/>
      <c r="W47" s="2236"/>
      <c r="X47" s="2236"/>
      <c r="Y47" s="2236"/>
      <c r="Z47" s="2236"/>
      <c r="AA47" s="2236"/>
      <c r="AB47" s="2236"/>
      <c r="AC47" s="2237"/>
      <c r="AD47" s="2180" t="s">
        <v>186</v>
      </c>
      <c r="AE47" s="1528"/>
      <c r="AF47" s="1528"/>
      <c r="AG47" s="1528"/>
      <c r="AH47" s="694"/>
      <c r="AI47" s="2180"/>
      <c r="AJ47" s="1528"/>
      <c r="AK47" s="1528"/>
      <c r="AL47" s="1528"/>
      <c r="AM47" s="1528"/>
      <c r="AN47" s="1528"/>
      <c r="AO47" s="1528"/>
      <c r="AP47" s="1528"/>
      <c r="AQ47" s="1528"/>
      <c r="AR47" s="1528"/>
      <c r="AS47" s="1528"/>
      <c r="AT47" s="1528"/>
      <c r="AU47" s="1528"/>
      <c r="AV47" s="1528"/>
      <c r="AW47" s="1528"/>
      <c r="AX47" s="1528"/>
      <c r="AY47" s="1528"/>
      <c r="AZ47" s="1528"/>
      <c r="BA47" s="1528"/>
      <c r="BB47" s="1528"/>
      <c r="BC47" s="1528"/>
      <c r="BD47" s="1528"/>
      <c r="BE47" s="1528"/>
      <c r="BF47" s="1528"/>
      <c r="BG47" s="2154"/>
      <c r="BH47" s="651"/>
      <c r="BI47" s="546"/>
      <c r="BJ47" s="546"/>
      <c r="BK47" s="546"/>
      <c r="BL47" s="546"/>
      <c r="BM47" s="546"/>
      <c r="BN47" s="546"/>
      <c r="BO47" s="546"/>
      <c r="BP47" s="546"/>
      <c r="BQ47" s="546"/>
      <c r="BR47" s="546"/>
    </row>
    <row r="48" spans="1:70" ht="15" customHeight="1">
      <c r="A48" s="691"/>
      <c r="B48" s="692"/>
      <c r="C48" s="1528"/>
      <c r="D48" s="1528"/>
      <c r="E48" s="1528"/>
      <c r="F48" s="1528"/>
      <c r="G48" s="1528"/>
      <c r="H48" s="1528"/>
      <c r="I48" s="1528"/>
      <c r="J48" s="1528"/>
      <c r="K48" s="1528"/>
      <c r="L48" s="2238"/>
      <c r="M48" s="2122"/>
      <c r="N48" s="2122"/>
      <c r="O48" s="2122"/>
      <c r="P48" s="2122"/>
      <c r="Q48" s="2122"/>
      <c r="R48" s="2122"/>
      <c r="S48" s="2122"/>
      <c r="T48" s="2122"/>
      <c r="U48" s="2122"/>
      <c r="V48" s="2122"/>
      <c r="W48" s="2122"/>
      <c r="X48" s="2122"/>
      <c r="Y48" s="2122"/>
      <c r="Z48" s="2122"/>
      <c r="AA48" s="2122"/>
      <c r="AB48" s="2122"/>
      <c r="AC48" s="2239"/>
      <c r="AD48" s="1528"/>
      <c r="AE48" s="1528"/>
      <c r="AF48" s="1528"/>
      <c r="AG48" s="1528"/>
      <c r="AH48" s="2101" t="s">
        <v>3111</v>
      </c>
      <c r="AI48" s="2102"/>
      <c r="AJ48" s="2102"/>
      <c r="AK48" s="2102"/>
      <c r="AL48" s="2102"/>
      <c r="AM48" s="2102"/>
      <c r="AN48" s="2102"/>
      <c r="AO48" s="2102"/>
      <c r="AP48" s="2102"/>
      <c r="AQ48" s="2102"/>
      <c r="AR48" s="2102"/>
      <c r="AS48" s="2102"/>
      <c r="AT48" s="2102"/>
      <c r="AU48" s="2102"/>
      <c r="AV48" s="2102"/>
      <c r="AW48" s="2102"/>
      <c r="AX48" s="2102"/>
      <c r="AY48" s="2135"/>
      <c r="AZ48" s="2135"/>
      <c r="BA48" s="2135"/>
      <c r="BB48" s="2135"/>
      <c r="BC48" s="2135"/>
      <c r="BD48" s="2135"/>
      <c r="BE48" s="2091"/>
      <c r="BF48" s="2091"/>
      <c r="BG48" s="2096"/>
      <c r="BH48" s="651"/>
      <c r="BI48" s="546"/>
      <c r="BJ48" s="546"/>
      <c r="BK48" s="546"/>
      <c r="BL48" s="546"/>
      <c r="BM48" s="546"/>
      <c r="BN48" s="546"/>
      <c r="BO48" s="546"/>
      <c r="BP48" s="546"/>
      <c r="BQ48" s="546"/>
      <c r="BR48" s="546"/>
    </row>
    <row r="49" spans="1:70" ht="4.5" customHeight="1">
      <c r="A49" s="2240" t="s">
        <v>3112</v>
      </c>
      <c r="B49" s="2057"/>
      <c r="C49" s="2057"/>
      <c r="D49" s="2057"/>
      <c r="E49" s="2057"/>
      <c r="F49" s="2057"/>
      <c r="G49" s="2057"/>
      <c r="H49" s="2057"/>
      <c r="I49" s="2057"/>
      <c r="J49" s="2057"/>
      <c r="K49" s="2057"/>
      <c r="L49" s="2057"/>
      <c r="M49" s="2057"/>
      <c r="N49" s="2057"/>
      <c r="O49" s="2057"/>
      <c r="P49" s="2057"/>
      <c r="Q49" s="2057"/>
      <c r="R49" s="2057"/>
      <c r="S49" s="2057"/>
      <c r="T49" s="2057"/>
      <c r="U49" s="2057"/>
      <c r="V49" s="2057"/>
      <c r="W49" s="2057"/>
      <c r="X49" s="2057"/>
      <c r="Y49" s="2057"/>
      <c r="Z49" s="2057"/>
      <c r="AA49" s="2057"/>
      <c r="AB49" s="2057"/>
      <c r="AC49" s="2057"/>
      <c r="AD49" s="2057"/>
      <c r="AE49" s="2057"/>
      <c r="AF49" s="2057"/>
      <c r="AG49" s="2057"/>
      <c r="AH49" s="2241"/>
      <c r="AI49" s="2242"/>
      <c r="AJ49" s="2242"/>
      <c r="AK49" s="2242"/>
      <c r="AL49" s="2242"/>
      <c r="AM49" s="2242"/>
      <c r="AN49" s="2242"/>
      <c r="AO49" s="2242"/>
      <c r="AP49" s="2242"/>
      <c r="AQ49" s="2242"/>
      <c r="AR49" s="2242"/>
      <c r="AS49" s="2242"/>
      <c r="AT49" s="2242"/>
      <c r="AU49" s="2242"/>
      <c r="AV49" s="2242"/>
      <c r="AW49" s="2242"/>
      <c r="AX49" s="2242"/>
      <c r="AY49" s="2242"/>
      <c r="AZ49" s="2242"/>
      <c r="BA49" s="2242"/>
      <c r="BB49" s="2242"/>
      <c r="BC49" s="2242"/>
      <c r="BD49" s="2242"/>
      <c r="BE49" s="2242"/>
      <c r="BF49" s="2242"/>
      <c r="BG49" s="2243"/>
      <c r="BH49" s="651"/>
      <c r="BI49" s="546"/>
      <c r="BJ49" s="546"/>
      <c r="BK49" s="546"/>
      <c r="BL49" s="546"/>
      <c r="BM49" s="546"/>
      <c r="BN49" s="546"/>
      <c r="BO49" s="546"/>
      <c r="BP49" s="546"/>
      <c r="BQ49" s="546"/>
      <c r="BR49" s="546"/>
    </row>
    <row r="50" spans="1:70" ht="15" customHeight="1">
      <c r="A50" s="2056"/>
      <c r="B50" s="2057"/>
      <c r="C50" s="2057"/>
      <c r="D50" s="2057"/>
      <c r="E50" s="2057"/>
      <c r="F50" s="2057"/>
      <c r="G50" s="2057"/>
      <c r="H50" s="2057"/>
      <c r="I50" s="2057"/>
      <c r="J50" s="2057"/>
      <c r="K50" s="2057"/>
      <c r="L50" s="2057"/>
      <c r="M50" s="2057"/>
      <c r="N50" s="2057"/>
      <c r="O50" s="2057"/>
      <c r="P50" s="2057"/>
      <c r="Q50" s="2057"/>
      <c r="R50" s="2057"/>
      <c r="S50" s="2057"/>
      <c r="T50" s="2057"/>
      <c r="U50" s="2057"/>
      <c r="V50" s="2057"/>
      <c r="W50" s="2057"/>
      <c r="X50" s="2057"/>
      <c r="Y50" s="2057"/>
      <c r="Z50" s="2057"/>
      <c r="AA50" s="2057"/>
      <c r="AB50" s="2057"/>
      <c r="AC50" s="2057"/>
      <c r="AD50" s="2057"/>
      <c r="AE50" s="2057"/>
      <c r="AF50" s="2057"/>
      <c r="AG50" s="2057"/>
      <c r="AH50" s="2244"/>
      <c r="AI50" s="2245"/>
      <c r="AJ50" s="2245"/>
      <c r="AK50" s="2245"/>
      <c r="AL50" s="2245"/>
      <c r="AM50" s="2245"/>
      <c r="AN50" s="2245"/>
      <c r="AO50" s="2245"/>
      <c r="AP50" s="2245"/>
      <c r="AQ50" s="2245"/>
      <c r="AR50" s="2246" t="s">
        <v>3113</v>
      </c>
      <c r="AS50" s="2246"/>
      <c r="AT50" s="2246"/>
      <c r="AU50" s="2246"/>
      <c r="AV50" s="2246"/>
      <c r="AW50" s="2246"/>
      <c r="AX50" s="2246"/>
      <c r="AY50" s="2246"/>
      <c r="AZ50" s="2246"/>
      <c r="BA50" s="2246"/>
      <c r="BB50" s="2246"/>
      <c r="BC50" s="2246"/>
      <c r="BD50" s="2246"/>
      <c r="BE50" s="2246"/>
      <c r="BF50" s="2246"/>
      <c r="BG50" s="704"/>
      <c r="BH50" s="651"/>
      <c r="BI50" s="546"/>
      <c r="BJ50" s="546"/>
      <c r="BK50" s="546"/>
      <c r="BL50" s="546"/>
      <c r="BM50" s="546"/>
      <c r="BN50" s="546"/>
      <c r="BO50" s="546"/>
      <c r="BP50" s="546"/>
      <c r="BQ50" s="546"/>
      <c r="BR50" s="546"/>
    </row>
    <row r="51" spans="1:70" ht="24" customHeight="1">
      <c r="A51" s="691"/>
      <c r="B51" s="692"/>
      <c r="C51" s="2173" t="s">
        <v>3114</v>
      </c>
      <c r="D51" s="1528"/>
      <c r="E51" s="1528"/>
      <c r="F51" s="1528"/>
      <c r="G51" s="1528"/>
      <c r="H51" s="1528"/>
      <c r="I51" s="1528"/>
      <c r="J51" s="1528"/>
      <c r="K51" s="2154"/>
      <c r="L51" s="2199">
        <f>+MAX(L47,+L36*0.5)</f>
        <v>279342</v>
      </c>
      <c r="M51" s="2200"/>
      <c r="N51" s="2200"/>
      <c r="O51" s="2200"/>
      <c r="P51" s="2200"/>
      <c r="Q51" s="2200"/>
      <c r="R51" s="2200"/>
      <c r="S51" s="2200"/>
      <c r="T51" s="2200"/>
      <c r="U51" s="2200"/>
      <c r="V51" s="2200"/>
      <c r="W51" s="2200"/>
      <c r="X51" s="2200"/>
      <c r="Y51" s="2200"/>
      <c r="Z51" s="2200"/>
      <c r="AA51" s="2200"/>
      <c r="AB51" s="2200"/>
      <c r="AC51" s="2201"/>
      <c r="AD51" s="2179" t="s">
        <v>186</v>
      </c>
      <c r="AE51" s="1528"/>
      <c r="AF51" s="1528"/>
      <c r="AG51" s="1528"/>
      <c r="AH51" s="2275"/>
      <c r="AI51" s="1525"/>
      <c r="AJ51" s="705"/>
      <c r="AK51" s="2276" t="s">
        <v>3115</v>
      </c>
      <c r="AL51" s="2277"/>
      <c r="AM51" s="2277"/>
      <c r="AN51" s="2277"/>
      <c r="AO51" s="2277"/>
      <c r="AP51" s="2277"/>
      <c r="AQ51" s="2277"/>
      <c r="AR51" s="2277"/>
      <c r="AS51" s="2277"/>
      <c r="AT51" s="2278"/>
      <c r="AU51" s="2216">
        <f>+CEILING(0.135*0.5*MAX(0,L36)/U38,1)</f>
        <v>0</v>
      </c>
      <c r="AV51" s="2217"/>
      <c r="AW51" s="2217"/>
      <c r="AX51" s="2217"/>
      <c r="AY51" s="2217"/>
      <c r="AZ51" s="2217"/>
      <c r="BA51" s="2217"/>
      <c r="BB51" s="2217"/>
      <c r="BC51" s="2218"/>
      <c r="BD51" s="2253" t="s">
        <v>186</v>
      </c>
      <c r="BE51" s="2254"/>
      <c r="BF51" s="2254"/>
      <c r="BG51" s="2255"/>
      <c r="BH51" s="651"/>
      <c r="BI51" s="546"/>
      <c r="BJ51" s="546"/>
      <c r="BK51" s="546"/>
      <c r="BL51" s="546"/>
      <c r="BM51" s="546"/>
      <c r="BN51" s="546"/>
      <c r="BO51" s="546"/>
      <c r="BP51" s="546"/>
      <c r="BQ51" s="546"/>
      <c r="BR51" s="546"/>
    </row>
    <row r="52" spans="1:70" ht="15.95" customHeight="1">
      <c r="A52" s="691"/>
      <c r="B52" s="692"/>
      <c r="C52" s="670"/>
      <c r="D52" s="670"/>
      <c r="E52" s="670"/>
      <c r="F52" s="670"/>
      <c r="G52" s="670"/>
      <c r="H52" s="670"/>
      <c r="I52" s="670"/>
      <c r="J52" s="670"/>
      <c r="K52" s="670"/>
      <c r="L52" s="670"/>
      <c r="M52" s="670"/>
      <c r="N52" s="670"/>
      <c r="O52" s="670"/>
      <c r="P52" s="670"/>
      <c r="Q52" s="670"/>
      <c r="R52" s="670"/>
      <c r="S52" s="670"/>
      <c r="T52" s="670"/>
      <c r="U52" s="670"/>
      <c r="V52" s="670"/>
      <c r="W52" s="670"/>
      <c r="X52" s="670"/>
      <c r="Y52" s="670"/>
      <c r="Z52" s="670"/>
      <c r="AA52" s="670"/>
      <c r="AB52" s="670"/>
      <c r="AC52" s="670"/>
      <c r="AD52" s="670"/>
      <c r="AE52" s="670"/>
      <c r="AF52" s="670"/>
      <c r="AG52" s="670"/>
      <c r="AH52" s="2162"/>
      <c r="AI52" s="2163"/>
      <c r="AJ52" s="2249"/>
      <c r="AK52" s="2249"/>
      <c r="AL52" s="2249"/>
      <c r="AM52" s="2249"/>
      <c r="AN52" s="2249"/>
      <c r="AO52" s="2249"/>
      <c r="AP52" s="2249"/>
      <c r="AQ52" s="2249"/>
      <c r="AR52" s="2249"/>
      <c r="AS52" s="2249"/>
      <c r="AT52" s="2249"/>
      <c r="AU52" s="2249"/>
      <c r="AV52" s="2249"/>
      <c r="AW52" s="2249"/>
      <c r="AX52" s="2249"/>
      <c r="AY52" s="2249"/>
      <c r="AZ52" s="2249"/>
      <c r="BA52" s="2249"/>
      <c r="BB52" s="2249"/>
      <c r="BC52" s="2249"/>
      <c r="BD52" s="2249"/>
      <c r="BE52" s="2249"/>
      <c r="BF52" s="2249"/>
      <c r="BG52" s="2250"/>
      <c r="BH52" s="651"/>
      <c r="BI52" s="546"/>
      <c r="BJ52" s="546"/>
      <c r="BK52" s="546"/>
      <c r="BL52" s="546"/>
      <c r="BM52" s="546"/>
      <c r="BN52" s="546"/>
      <c r="BO52" s="546"/>
      <c r="BP52" s="546"/>
      <c r="BQ52" s="546"/>
      <c r="BR52" s="546"/>
    </row>
    <row r="53" spans="1:70" ht="14.1" customHeight="1">
      <c r="A53" s="2256" t="s">
        <v>3116</v>
      </c>
      <c r="B53" s="2257"/>
      <c r="C53" s="2257"/>
      <c r="D53" s="2257"/>
      <c r="E53" s="2257"/>
      <c r="F53" s="2257"/>
      <c r="G53" s="2257"/>
      <c r="H53" s="2257"/>
      <c r="I53" s="2257"/>
      <c r="J53" s="2257"/>
      <c r="K53" s="2257"/>
      <c r="L53" s="2257"/>
      <c r="M53" s="2257"/>
      <c r="N53" s="2257"/>
      <c r="O53" s="2257"/>
      <c r="P53" s="2257"/>
      <c r="Q53" s="2257"/>
      <c r="R53" s="2257"/>
      <c r="S53" s="2257"/>
      <c r="T53" s="2257"/>
      <c r="U53" s="2257"/>
      <c r="V53" s="2257"/>
      <c r="W53" s="2257"/>
      <c r="X53" s="2257"/>
      <c r="Y53" s="2257"/>
      <c r="Z53" s="2257"/>
      <c r="AA53" s="2257"/>
      <c r="AB53" s="2257"/>
      <c r="AC53" s="2257"/>
      <c r="AD53" s="2257"/>
      <c r="AE53" s="2257"/>
      <c r="AF53" s="2257"/>
      <c r="AG53" s="2257"/>
      <c r="AH53" s="706"/>
      <c r="AI53" s="707"/>
      <c r="AJ53" s="708"/>
      <c r="AK53" s="709" t="s">
        <v>3117</v>
      </c>
      <c r="AL53" s="2258" t="s">
        <v>3118</v>
      </c>
      <c r="AM53" s="2259"/>
      <c r="AN53" s="2259"/>
      <c r="AO53" s="2259"/>
      <c r="AP53" s="2259"/>
      <c r="AQ53" s="2259"/>
      <c r="AR53" s="2259"/>
      <c r="AS53" s="2259"/>
      <c r="AT53" s="2259"/>
      <c r="AU53" s="2259"/>
      <c r="AV53" s="709"/>
      <c r="AW53" s="709"/>
      <c r="AX53" s="709"/>
      <c r="AY53" s="709"/>
      <c r="AZ53" s="709"/>
      <c r="BA53" s="709"/>
      <c r="BB53" s="709"/>
      <c r="BC53" s="709"/>
      <c r="BD53" s="709"/>
      <c r="BE53" s="709"/>
      <c r="BF53" s="709"/>
      <c r="BG53" s="710"/>
      <c r="BH53" s="651"/>
      <c r="BI53" s="546"/>
      <c r="BJ53" s="546"/>
      <c r="BK53" s="546"/>
      <c r="BL53" s="546"/>
      <c r="BM53" s="546"/>
      <c r="BN53" s="546"/>
      <c r="BO53" s="546"/>
      <c r="BP53" s="546"/>
      <c r="BQ53" s="546"/>
      <c r="BR53" s="546"/>
    </row>
    <row r="54" spans="1:70" ht="10.5" customHeight="1">
      <c r="A54" s="2260"/>
      <c r="B54" s="1525"/>
      <c r="C54" s="2261" t="s">
        <v>3119</v>
      </c>
      <c r="D54" s="2262"/>
      <c r="E54" s="2262"/>
      <c r="F54" s="2262"/>
      <c r="G54" s="2262"/>
      <c r="H54" s="2262"/>
      <c r="I54" s="2262"/>
      <c r="J54" s="2262"/>
      <c r="K54" s="2262"/>
      <c r="L54" s="1528"/>
      <c r="M54" s="1528"/>
      <c r="N54" s="1528"/>
      <c r="O54" s="1528"/>
      <c r="P54" s="2154"/>
      <c r="Q54" s="2263">
        <f>+CEILING(0.135*(L51*U40)/U38,1)</f>
        <v>37712</v>
      </c>
      <c r="R54" s="2138"/>
      <c r="S54" s="2138"/>
      <c r="T54" s="2138"/>
      <c r="U54" s="2138"/>
      <c r="V54" s="2138"/>
      <c r="W54" s="2138"/>
      <c r="X54" s="2138"/>
      <c r="Y54" s="2138"/>
      <c r="Z54" s="2138"/>
      <c r="AA54" s="2138"/>
      <c r="AB54" s="2138"/>
      <c r="AC54" s="2139"/>
      <c r="AD54" s="2264" t="s">
        <v>186</v>
      </c>
      <c r="AE54" s="2265"/>
      <c r="AF54" s="2265"/>
      <c r="AG54" s="2265"/>
      <c r="AH54" s="706"/>
      <c r="AI54" s="707"/>
      <c r="AJ54" s="708"/>
      <c r="AK54" s="709"/>
      <c r="AL54" s="709"/>
      <c r="AM54" s="709"/>
      <c r="AN54" s="709"/>
      <c r="AO54" s="709"/>
      <c r="AP54" s="709"/>
      <c r="AQ54" s="709"/>
      <c r="AR54" s="709"/>
      <c r="AS54" s="709"/>
      <c r="AT54" s="709"/>
      <c r="AU54" s="709"/>
      <c r="AV54" s="709"/>
      <c r="AW54" s="709"/>
      <c r="AX54" s="2266">
        <f>+IF(OR(EXACT(AI55,"X"),EXACT(AI55,"x")),MAX(AU51,3306),IF(OR(EXACT(AT55,"X"),EXACT(AT55,"x")),0,+AU51))</f>
        <v>3306</v>
      </c>
      <c r="AY54" s="2267"/>
      <c r="AZ54" s="2267"/>
      <c r="BA54" s="2267"/>
      <c r="BB54" s="2267"/>
      <c r="BC54" s="2268"/>
      <c r="BD54" s="709"/>
      <c r="BE54" s="709"/>
      <c r="BF54" s="709"/>
      <c r="BG54" s="710"/>
      <c r="BH54" s="651"/>
      <c r="BI54" s="546"/>
      <c r="BJ54" s="546"/>
      <c r="BK54" s="546"/>
      <c r="BL54" s="546"/>
      <c r="BM54" s="546"/>
      <c r="BN54" s="546"/>
      <c r="BO54" s="546"/>
      <c r="BP54" s="546"/>
      <c r="BQ54" s="546"/>
      <c r="BR54" s="546"/>
    </row>
    <row r="55" spans="1:70" ht="13.5" customHeight="1">
      <c r="A55" s="2161"/>
      <c r="B55" s="1525"/>
      <c r="C55" s="2262"/>
      <c r="D55" s="2262"/>
      <c r="E55" s="2262"/>
      <c r="F55" s="2262"/>
      <c r="G55" s="2262"/>
      <c r="H55" s="2262"/>
      <c r="I55" s="2262"/>
      <c r="J55" s="2262"/>
      <c r="K55" s="2262"/>
      <c r="L55" s="1528"/>
      <c r="M55" s="1528"/>
      <c r="N55" s="1528"/>
      <c r="O55" s="1528"/>
      <c r="P55" s="2154"/>
      <c r="Q55" s="2238"/>
      <c r="R55" s="2122"/>
      <c r="S55" s="2122"/>
      <c r="T55" s="2122"/>
      <c r="U55" s="2122"/>
      <c r="V55" s="2122"/>
      <c r="W55" s="2122"/>
      <c r="X55" s="2122"/>
      <c r="Y55" s="2122"/>
      <c r="Z55" s="2122"/>
      <c r="AA55" s="2122"/>
      <c r="AB55" s="2122"/>
      <c r="AC55" s="2239"/>
      <c r="AD55" s="2265"/>
      <c r="AE55" s="2265"/>
      <c r="AF55" s="2265"/>
      <c r="AG55" s="2265"/>
      <c r="AH55" s="706"/>
      <c r="AI55" s="680" t="s">
        <v>234</v>
      </c>
      <c r="AJ55" s="2272" t="s">
        <v>3120</v>
      </c>
      <c r="AK55" s="2273"/>
      <c r="AL55" s="2273"/>
      <c r="AM55" s="2273"/>
      <c r="AN55" s="2273"/>
      <c r="AO55" s="2274"/>
      <c r="AP55" s="680"/>
      <c r="AQ55" s="2272" t="s">
        <v>3121</v>
      </c>
      <c r="AR55" s="1528"/>
      <c r="AS55" s="2154"/>
      <c r="AT55" s="680"/>
      <c r="AU55" s="2279" t="s">
        <v>3122</v>
      </c>
      <c r="AV55" s="1528"/>
      <c r="AW55" s="2154"/>
      <c r="AX55" s="2269"/>
      <c r="AY55" s="2270"/>
      <c r="AZ55" s="2270"/>
      <c r="BA55" s="2270"/>
      <c r="BB55" s="2270"/>
      <c r="BC55" s="2271"/>
      <c r="BD55" s="2253" t="s">
        <v>186</v>
      </c>
      <c r="BE55" s="2254"/>
      <c r="BF55" s="2254"/>
      <c r="BG55" s="2255"/>
      <c r="BH55" s="651"/>
      <c r="BI55" s="546"/>
      <c r="BJ55" s="546"/>
      <c r="BK55" s="546"/>
      <c r="BL55" s="546"/>
      <c r="BM55" s="546"/>
      <c r="BN55" s="546"/>
      <c r="BO55" s="546"/>
      <c r="BP55" s="546"/>
      <c r="BQ55" s="546"/>
      <c r="BR55" s="546"/>
    </row>
    <row r="56" spans="1:70" ht="6" customHeight="1">
      <c r="A56" s="2247"/>
      <c r="B56" s="2163"/>
      <c r="C56" s="2163"/>
      <c r="D56" s="2163"/>
      <c r="E56" s="2163"/>
      <c r="F56" s="2163"/>
      <c r="G56" s="2163"/>
      <c r="H56" s="2163"/>
      <c r="I56" s="2163"/>
      <c r="J56" s="2163"/>
      <c r="K56" s="2163"/>
      <c r="L56" s="2163"/>
      <c r="M56" s="2163"/>
      <c r="N56" s="2163"/>
      <c r="O56" s="2163"/>
      <c r="P56" s="2163"/>
      <c r="Q56" s="2163"/>
      <c r="R56" s="2163"/>
      <c r="S56" s="2163"/>
      <c r="T56" s="2163"/>
      <c r="U56" s="2163"/>
      <c r="V56" s="2163"/>
      <c r="W56" s="2163"/>
      <c r="X56" s="2163"/>
      <c r="Y56" s="2163"/>
      <c r="Z56" s="2163"/>
      <c r="AA56" s="2163"/>
      <c r="AB56" s="2163"/>
      <c r="AC56" s="2163"/>
      <c r="AD56" s="2163"/>
      <c r="AE56" s="2163"/>
      <c r="AF56" s="2163"/>
      <c r="AG56" s="2163"/>
      <c r="AH56" s="711"/>
      <c r="AI56" s="712"/>
      <c r="AJ56" s="712"/>
      <c r="AK56" s="2248"/>
      <c r="AL56" s="2248"/>
      <c r="AM56" s="2249"/>
      <c r="AN56" s="2249"/>
      <c r="AO56" s="2249"/>
      <c r="AP56" s="2249"/>
      <c r="AQ56" s="2249"/>
      <c r="AR56" s="2249"/>
      <c r="AS56" s="2249"/>
      <c r="AT56" s="2249"/>
      <c r="AU56" s="2249"/>
      <c r="AV56" s="2249"/>
      <c r="AW56" s="2249"/>
      <c r="AX56" s="2249"/>
      <c r="AY56" s="2249"/>
      <c r="AZ56" s="2249"/>
      <c r="BA56" s="2249"/>
      <c r="BB56" s="2249"/>
      <c r="BC56" s="2249"/>
      <c r="BD56" s="2249"/>
      <c r="BE56" s="2249"/>
      <c r="BF56" s="2249"/>
      <c r="BG56" s="2250"/>
      <c r="BH56" s="651"/>
      <c r="BI56" s="546"/>
      <c r="BJ56" s="546"/>
      <c r="BK56" s="546"/>
      <c r="BL56" s="546"/>
      <c r="BM56" s="546"/>
      <c r="BN56" s="546"/>
      <c r="BO56" s="546"/>
      <c r="BP56" s="546"/>
      <c r="BQ56" s="546"/>
      <c r="BR56" s="546"/>
    </row>
    <row r="57" spans="1:70" ht="6" customHeight="1">
      <c r="A57" s="2251"/>
      <c r="B57" s="2166"/>
      <c r="C57" s="2166"/>
      <c r="D57" s="2166"/>
      <c r="E57" s="2166"/>
      <c r="F57" s="2166"/>
      <c r="G57" s="2166"/>
      <c r="H57" s="2166"/>
      <c r="I57" s="2166"/>
      <c r="J57" s="2166"/>
      <c r="K57" s="2166"/>
      <c r="L57" s="2166"/>
      <c r="M57" s="2166"/>
      <c r="N57" s="2166"/>
      <c r="O57" s="2166"/>
      <c r="P57" s="2166"/>
      <c r="Q57" s="2166"/>
      <c r="R57" s="2166"/>
      <c r="S57" s="2166"/>
      <c r="T57" s="2166"/>
      <c r="U57" s="2166"/>
      <c r="V57" s="2166"/>
      <c r="W57" s="2166"/>
      <c r="X57" s="2166"/>
      <c r="Y57" s="2166"/>
      <c r="Z57" s="2166"/>
      <c r="AA57" s="2166"/>
      <c r="AB57" s="2166"/>
      <c r="AC57" s="2166"/>
      <c r="AD57" s="2166"/>
      <c r="AE57" s="2166"/>
      <c r="AF57" s="2166"/>
      <c r="AG57" s="2167"/>
      <c r="AH57" s="2252"/>
      <c r="AI57" s="2166"/>
      <c r="AJ57" s="2166"/>
      <c r="AK57" s="2166"/>
      <c r="AL57" s="2166"/>
      <c r="AM57" s="2166"/>
      <c r="AN57" s="2166"/>
      <c r="AO57" s="2166"/>
      <c r="AP57" s="2166"/>
      <c r="AQ57" s="2166"/>
      <c r="AR57" s="2166"/>
      <c r="AS57" s="2166"/>
      <c r="AT57" s="2166"/>
      <c r="AU57" s="2166"/>
      <c r="AV57" s="2166"/>
      <c r="AW57" s="2166"/>
      <c r="AX57" s="2166"/>
      <c r="AY57" s="2166"/>
      <c r="AZ57" s="2166"/>
      <c r="BA57" s="2166"/>
      <c r="BB57" s="2166"/>
      <c r="BC57" s="2166"/>
      <c r="BD57" s="2166"/>
      <c r="BE57" s="2166"/>
      <c r="BF57" s="2166"/>
      <c r="BG57" s="2167"/>
      <c r="BH57" s="651"/>
      <c r="BI57" s="546"/>
      <c r="BJ57" s="546"/>
      <c r="BK57" s="546"/>
      <c r="BL57" s="546"/>
      <c r="BM57" s="546"/>
      <c r="BN57" s="546"/>
      <c r="BO57" s="546"/>
      <c r="BP57" s="546"/>
      <c r="BQ57" s="546"/>
      <c r="BR57" s="546"/>
    </row>
    <row r="58" spans="1:70" ht="15" customHeight="1">
      <c r="A58" s="658" t="s">
        <v>3123</v>
      </c>
      <c r="B58" s="659"/>
      <c r="C58" s="675"/>
      <c r="D58" s="675"/>
      <c r="E58" s="675"/>
      <c r="F58" s="675"/>
      <c r="G58" s="675"/>
      <c r="H58" s="675"/>
      <c r="I58" s="675"/>
      <c r="J58" s="675"/>
      <c r="K58" s="675"/>
      <c r="L58" s="675"/>
      <c r="M58" s="675"/>
      <c r="N58" s="675"/>
      <c r="O58" s="675"/>
      <c r="P58" s="675"/>
      <c r="Q58" s="675"/>
      <c r="R58" s="675"/>
      <c r="S58" s="675"/>
      <c r="T58" s="675"/>
      <c r="U58" s="675"/>
      <c r="V58" s="675"/>
      <c r="W58" s="675"/>
      <c r="X58" s="675"/>
      <c r="Y58" s="675"/>
      <c r="Z58" s="675"/>
      <c r="AA58" s="675"/>
      <c r="AB58" s="675"/>
      <c r="AC58" s="675"/>
      <c r="AD58" s="675"/>
      <c r="AE58" s="675"/>
      <c r="AF58" s="675"/>
      <c r="AG58" s="675"/>
      <c r="AH58" s="675"/>
      <c r="AI58" s="675"/>
      <c r="AJ58" s="675"/>
      <c r="AK58" s="675"/>
      <c r="AL58" s="675"/>
      <c r="AM58" s="675"/>
      <c r="AN58" s="675"/>
      <c r="AO58" s="675"/>
      <c r="AP58" s="675"/>
      <c r="AQ58" s="675"/>
      <c r="AR58" s="675"/>
      <c r="AS58" s="675"/>
      <c r="AT58" s="675"/>
      <c r="AU58" s="675"/>
      <c r="AV58" s="675"/>
      <c r="AW58" s="675"/>
      <c r="AX58" s="675"/>
      <c r="AY58" s="675"/>
      <c r="AZ58" s="675"/>
      <c r="BA58" s="675"/>
      <c r="BB58" s="675"/>
      <c r="BC58" s="675"/>
      <c r="BD58" s="675"/>
      <c r="BE58" s="675"/>
      <c r="BF58" s="675"/>
      <c r="BG58" s="676"/>
      <c r="BH58" s="651"/>
      <c r="BI58" s="546"/>
      <c r="BJ58" s="546"/>
      <c r="BK58" s="546"/>
      <c r="BL58" s="546"/>
      <c r="BM58" s="546"/>
      <c r="BN58" s="546"/>
      <c r="BO58" s="546"/>
      <c r="BP58" s="546"/>
      <c r="BQ58" s="546"/>
      <c r="BR58" s="546"/>
    </row>
    <row r="59" spans="1:70" ht="12" customHeight="1">
      <c r="A59" s="2284" t="s">
        <v>3124</v>
      </c>
      <c r="B59" s="2285"/>
      <c r="C59" s="2285"/>
      <c r="D59" s="2285"/>
      <c r="E59" s="2285"/>
      <c r="F59" s="2285"/>
      <c r="G59" s="2285"/>
      <c r="H59" s="2285"/>
      <c r="I59" s="2285"/>
      <c r="J59" s="2285"/>
      <c r="K59" s="2285"/>
      <c r="L59" s="2285"/>
      <c r="M59" s="2285"/>
      <c r="N59" s="2285"/>
      <c r="O59" s="2285"/>
      <c r="P59" s="2285"/>
      <c r="Q59" s="2285"/>
      <c r="R59" s="2285"/>
      <c r="S59" s="2285"/>
      <c r="T59" s="2285"/>
      <c r="U59" s="2285"/>
      <c r="V59" s="2285"/>
      <c r="W59" s="2285"/>
      <c r="X59" s="2285"/>
      <c r="Y59" s="2285"/>
      <c r="Z59" s="2285"/>
      <c r="AA59" s="2285"/>
      <c r="AB59" s="2285"/>
      <c r="AC59" s="2285"/>
      <c r="AD59" s="2285"/>
      <c r="AE59" s="2285"/>
      <c r="AF59" s="2285"/>
      <c r="AG59" s="2285"/>
      <c r="AH59" s="2285"/>
      <c r="AI59" s="2285"/>
      <c r="AJ59" s="2285"/>
      <c r="AK59" s="2285"/>
      <c r="AL59" s="2285"/>
      <c r="AM59" s="2287"/>
      <c r="AN59" s="2288"/>
      <c r="AO59" s="2242"/>
      <c r="AP59" s="2242"/>
      <c r="AQ59" s="2242"/>
      <c r="AR59" s="2242"/>
      <c r="AS59" s="2242"/>
      <c r="AT59" s="2242"/>
      <c r="AU59" s="2242"/>
      <c r="AV59" s="2242"/>
      <c r="AW59" s="2242"/>
      <c r="AX59" s="2242"/>
      <c r="AY59" s="2242"/>
      <c r="AZ59" s="2242"/>
      <c r="BA59" s="2242"/>
      <c r="BB59" s="2242"/>
      <c r="BC59" s="2289"/>
      <c r="BD59" s="673"/>
      <c r="BE59" s="673"/>
      <c r="BF59" s="673"/>
      <c r="BG59" s="674"/>
      <c r="BH59" s="651"/>
      <c r="BI59" s="546"/>
      <c r="BJ59" s="546"/>
      <c r="BK59" s="546"/>
      <c r="BL59" s="546"/>
      <c r="BM59" s="546"/>
      <c r="BN59" s="546"/>
      <c r="BO59" s="546"/>
      <c r="BP59" s="546"/>
      <c r="BQ59" s="546"/>
      <c r="BR59" s="546"/>
    </row>
    <row r="60" spans="1:70" ht="18" customHeight="1">
      <c r="A60" s="2286"/>
      <c r="B60" s="2158"/>
      <c r="C60" s="2158"/>
      <c r="D60" s="2158"/>
      <c r="E60" s="2158"/>
      <c r="F60" s="2158"/>
      <c r="G60" s="2158"/>
      <c r="H60" s="2158"/>
      <c r="I60" s="2158"/>
      <c r="J60" s="2158"/>
      <c r="K60" s="2158"/>
      <c r="L60" s="2158"/>
      <c r="M60" s="2158"/>
      <c r="N60" s="2158"/>
      <c r="O60" s="2158"/>
      <c r="P60" s="2158"/>
      <c r="Q60" s="2158"/>
      <c r="R60" s="2158"/>
      <c r="S60" s="2158"/>
      <c r="T60" s="2158"/>
      <c r="U60" s="2158"/>
      <c r="V60" s="2158"/>
      <c r="W60" s="2158"/>
      <c r="X60" s="2158"/>
      <c r="Y60" s="2158"/>
      <c r="Z60" s="2158"/>
      <c r="AA60" s="2158"/>
      <c r="AB60" s="2158"/>
      <c r="AC60" s="2158"/>
      <c r="AD60" s="2158"/>
      <c r="AE60" s="2158"/>
      <c r="AF60" s="2158"/>
      <c r="AG60" s="2158"/>
      <c r="AH60" s="2158"/>
      <c r="AI60" s="2158"/>
      <c r="AJ60" s="2158"/>
      <c r="AK60" s="2158"/>
      <c r="AL60" s="2158"/>
      <c r="AM60" s="2151"/>
      <c r="AN60" s="2290" t="s">
        <v>3125</v>
      </c>
      <c r="AO60" s="2291"/>
      <c r="AP60" s="2291"/>
      <c r="AQ60" s="2291"/>
      <c r="AR60" s="2291"/>
      <c r="AS60" s="2291"/>
      <c r="AT60" s="2291"/>
      <c r="AU60" s="2291"/>
      <c r="AV60" s="2291"/>
      <c r="AW60" s="2291"/>
      <c r="AX60" s="2291"/>
      <c r="AY60" s="2291"/>
      <c r="AZ60" s="2291"/>
      <c r="BA60" s="2291"/>
      <c r="BB60" s="2292"/>
      <c r="BC60" s="1525"/>
      <c r="BD60" s="2133"/>
      <c r="BE60" s="2133"/>
      <c r="BF60" s="2133"/>
      <c r="BG60" s="2134"/>
      <c r="BH60" s="651"/>
      <c r="BI60" s="546"/>
      <c r="BJ60" s="546"/>
      <c r="BK60" s="546"/>
      <c r="BL60" s="546"/>
      <c r="BM60" s="546"/>
      <c r="BN60" s="546"/>
      <c r="BO60" s="546"/>
      <c r="BP60" s="546"/>
      <c r="BQ60" s="546"/>
      <c r="BR60" s="546"/>
    </row>
    <row r="61" spans="1:70" ht="12.95" customHeight="1">
      <c r="A61" s="713"/>
      <c r="B61" s="714"/>
      <c r="C61" s="715"/>
      <c r="D61" s="715"/>
      <c r="E61" s="2299" t="s">
        <v>3126</v>
      </c>
      <c r="F61" s="2300"/>
      <c r="G61" s="2300"/>
      <c r="H61" s="2300"/>
      <c r="I61" s="2300"/>
      <c r="J61" s="2300"/>
      <c r="K61" s="2300"/>
      <c r="L61" s="2300"/>
      <c r="M61" s="2300"/>
      <c r="N61" s="2300"/>
      <c r="O61" s="2300"/>
      <c r="P61" s="2300"/>
      <c r="Q61" s="2300"/>
      <c r="R61" s="2300"/>
      <c r="S61" s="2300"/>
      <c r="T61" s="716"/>
      <c r="U61" s="714"/>
      <c r="V61" s="714"/>
      <c r="W61" s="714"/>
      <c r="X61" s="714"/>
      <c r="Y61" s="714"/>
      <c r="Z61" s="714"/>
      <c r="AA61" s="714"/>
      <c r="AB61" s="714"/>
      <c r="AC61" s="714"/>
      <c r="AD61" s="714"/>
      <c r="AE61" s="714"/>
      <c r="AF61" s="714"/>
      <c r="AG61" s="714"/>
      <c r="AH61" s="714"/>
      <c r="AI61" s="714"/>
      <c r="AJ61" s="714"/>
      <c r="AK61" s="714"/>
      <c r="AL61" s="714"/>
      <c r="AM61" s="2151"/>
      <c r="AN61" s="2293"/>
      <c r="AO61" s="2294"/>
      <c r="AP61" s="2294"/>
      <c r="AQ61" s="2294"/>
      <c r="AR61" s="2294"/>
      <c r="AS61" s="2294"/>
      <c r="AT61" s="2294"/>
      <c r="AU61" s="2294"/>
      <c r="AV61" s="2294"/>
      <c r="AW61" s="2294"/>
      <c r="AX61" s="2294"/>
      <c r="AY61" s="2294"/>
      <c r="AZ61" s="2294"/>
      <c r="BA61" s="2294"/>
      <c r="BB61" s="2295"/>
      <c r="BC61" s="1525"/>
      <c r="BD61" s="2133"/>
      <c r="BE61" s="2133"/>
      <c r="BF61" s="2133"/>
      <c r="BG61" s="2134"/>
      <c r="BH61" s="651"/>
      <c r="BI61" s="546"/>
      <c r="BJ61" s="546"/>
      <c r="BK61" s="546"/>
      <c r="BL61" s="546"/>
      <c r="BM61" s="546"/>
      <c r="BN61" s="546"/>
      <c r="BO61" s="546"/>
      <c r="BP61" s="546"/>
      <c r="BQ61" s="546"/>
      <c r="BR61" s="546"/>
    </row>
    <row r="62" spans="1:70" ht="12.95" customHeight="1">
      <c r="A62" s="672"/>
      <c r="B62" s="673"/>
      <c r="C62" s="717"/>
      <c r="D62" s="717"/>
      <c r="E62" s="717"/>
      <c r="F62" s="717"/>
      <c r="G62" s="717"/>
      <c r="H62" s="717"/>
      <c r="I62" s="717"/>
      <c r="J62" s="717"/>
      <c r="K62" s="717"/>
      <c r="L62" s="717"/>
      <c r="M62" s="717"/>
      <c r="N62" s="717"/>
      <c r="O62" s="717"/>
      <c r="P62" s="717"/>
      <c r="Q62" s="717"/>
      <c r="R62" s="717"/>
      <c r="S62" s="717"/>
      <c r="T62" s="717"/>
      <c r="U62" s="718"/>
      <c r="V62" s="2301" t="s">
        <v>3127</v>
      </c>
      <c r="W62" s="2302"/>
      <c r="X62" s="2302"/>
      <c r="Y62" s="2302"/>
      <c r="Z62" s="2302"/>
      <c r="AA62" s="2302"/>
      <c r="AB62" s="2302"/>
      <c r="AC62" s="2302"/>
      <c r="AD62" s="2302"/>
      <c r="AE62" s="2302"/>
      <c r="AF62" s="2302"/>
      <c r="AG62" s="2302"/>
      <c r="AH62" s="714"/>
      <c r="AI62" s="714"/>
      <c r="AJ62" s="714"/>
      <c r="AK62" s="714"/>
      <c r="AL62" s="714"/>
      <c r="AM62" s="2151"/>
      <c r="AN62" s="2293"/>
      <c r="AO62" s="2294"/>
      <c r="AP62" s="2294"/>
      <c r="AQ62" s="2294"/>
      <c r="AR62" s="2294"/>
      <c r="AS62" s="2294"/>
      <c r="AT62" s="2294"/>
      <c r="AU62" s="2294"/>
      <c r="AV62" s="2294"/>
      <c r="AW62" s="2294"/>
      <c r="AX62" s="2294"/>
      <c r="AY62" s="2294"/>
      <c r="AZ62" s="2294"/>
      <c r="BA62" s="2294"/>
      <c r="BB62" s="2295"/>
      <c r="BC62" s="1525"/>
      <c r="BD62" s="2133"/>
      <c r="BE62" s="2133"/>
      <c r="BF62" s="2133"/>
      <c r="BG62" s="2134"/>
      <c r="BH62" s="651"/>
      <c r="BI62" s="546"/>
      <c r="BJ62" s="546"/>
      <c r="BK62" s="546"/>
      <c r="BL62" s="546"/>
      <c r="BM62" s="546"/>
      <c r="BN62" s="546"/>
      <c r="BO62" s="546"/>
      <c r="BP62" s="546"/>
      <c r="BQ62" s="546"/>
      <c r="BR62" s="546"/>
    </row>
    <row r="63" spans="1:70" ht="18" customHeight="1">
      <c r="A63" s="672"/>
      <c r="B63" s="673"/>
      <c r="C63" s="653"/>
      <c r="D63" s="653"/>
      <c r="E63" s="673"/>
      <c r="F63" s="673"/>
      <c r="G63" s="673"/>
      <c r="H63" s="673"/>
      <c r="I63" s="673"/>
      <c r="J63" s="673"/>
      <c r="K63" s="673"/>
      <c r="L63" s="673"/>
      <c r="M63" s="673"/>
      <c r="N63" s="673"/>
      <c r="O63" s="673"/>
      <c r="P63" s="673"/>
      <c r="Q63" s="673"/>
      <c r="R63" s="673"/>
      <c r="S63" s="673"/>
      <c r="T63" s="673"/>
      <c r="U63" s="719"/>
      <c r="V63" s="2303">
        <f ca="1">+TODAY()</f>
        <v>46094</v>
      </c>
      <c r="W63" s="2304"/>
      <c r="X63" s="2304"/>
      <c r="Y63" s="2304"/>
      <c r="Z63" s="2304"/>
      <c r="AA63" s="2304"/>
      <c r="AB63" s="2304"/>
      <c r="AC63" s="2304"/>
      <c r="AD63" s="2304"/>
      <c r="AE63" s="2304"/>
      <c r="AF63" s="2304"/>
      <c r="AG63" s="2305"/>
      <c r="AH63" s="720"/>
      <c r="AI63" s="686"/>
      <c r="AJ63" s="686"/>
      <c r="AK63" s="686"/>
      <c r="AL63" s="686"/>
      <c r="AM63" s="2151"/>
      <c r="AN63" s="2293"/>
      <c r="AO63" s="2294"/>
      <c r="AP63" s="2294"/>
      <c r="AQ63" s="2294"/>
      <c r="AR63" s="2294"/>
      <c r="AS63" s="2294"/>
      <c r="AT63" s="2294"/>
      <c r="AU63" s="2294"/>
      <c r="AV63" s="2294"/>
      <c r="AW63" s="2294"/>
      <c r="AX63" s="2294"/>
      <c r="AY63" s="2294"/>
      <c r="AZ63" s="2294"/>
      <c r="BA63" s="2294"/>
      <c r="BB63" s="2295"/>
      <c r="BC63" s="1525"/>
      <c r="BD63" s="2133"/>
      <c r="BE63" s="2133"/>
      <c r="BF63" s="653"/>
      <c r="BG63" s="2134"/>
      <c r="BH63" s="651"/>
      <c r="BI63" s="546"/>
      <c r="BJ63" s="546"/>
      <c r="BK63" s="546"/>
      <c r="BL63" s="546"/>
      <c r="BM63" s="546"/>
      <c r="BN63" s="546"/>
      <c r="BO63" s="546"/>
      <c r="BP63" s="546"/>
      <c r="BQ63" s="546"/>
      <c r="BR63" s="546"/>
    </row>
    <row r="64" spans="1:70" ht="6.95" customHeight="1">
      <c r="A64" s="721"/>
      <c r="B64" s="722"/>
      <c r="C64" s="686"/>
      <c r="D64" s="686"/>
      <c r="E64" s="686"/>
      <c r="F64" s="686"/>
      <c r="G64" s="686"/>
      <c r="H64" s="686"/>
      <c r="I64" s="686"/>
      <c r="J64" s="686"/>
      <c r="K64" s="686"/>
      <c r="L64" s="686"/>
      <c r="M64" s="686"/>
      <c r="N64" s="686"/>
      <c r="O64" s="686"/>
      <c r="P64" s="686"/>
      <c r="Q64" s="686"/>
      <c r="R64" s="686"/>
      <c r="S64" s="686"/>
      <c r="T64" s="686"/>
      <c r="U64" s="719"/>
      <c r="V64" s="2306"/>
      <c r="W64" s="2307"/>
      <c r="X64" s="2307"/>
      <c r="Y64" s="2307"/>
      <c r="Z64" s="2307"/>
      <c r="AA64" s="2307"/>
      <c r="AB64" s="2307"/>
      <c r="AC64" s="2307"/>
      <c r="AD64" s="2307"/>
      <c r="AE64" s="2307"/>
      <c r="AF64" s="2307"/>
      <c r="AG64" s="2308"/>
      <c r="AH64" s="682"/>
      <c r="AI64" s="686"/>
      <c r="AJ64" s="686"/>
      <c r="AK64" s="686"/>
      <c r="AL64" s="686"/>
      <c r="AM64" s="2151"/>
      <c r="AN64" s="2296"/>
      <c r="AO64" s="2297"/>
      <c r="AP64" s="2297"/>
      <c r="AQ64" s="2297"/>
      <c r="AR64" s="2297"/>
      <c r="AS64" s="2297"/>
      <c r="AT64" s="2297"/>
      <c r="AU64" s="2297"/>
      <c r="AV64" s="2297"/>
      <c r="AW64" s="2297"/>
      <c r="AX64" s="2297"/>
      <c r="AY64" s="2297"/>
      <c r="AZ64" s="2297"/>
      <c r="BA64" s="2297"/>
      <c r="BB64" s="2298"/>
      <c r="BC64" s="1525"/>
      <c r="BD64" s="2133"/>
      <c r="BE64" s="2133"/>
      <c r="BF64" s="673"/>
      <c r="BG64" s="2134"/>
      <c r="BH64" s="651"/>
      <c r="BI64" s="546"/>
      <c r="BJ64" s="546"/>
      <c r="BK64" s="546"/>
      <c r="BL64" s="546"/>
      <c r="BM64" s="546"/>
      <c r="BN64" s="546"/>
      <c r="BO64" s="546"/>
      <c r="BP64" s="546"/>
      <c r="BQ64" s="546"/>
      <c r="BR64" s="546"/>
    </row>
    <row r="65" spans="1:60" ht="11.1" customHeight="1">
      <c r="A65" s="723"/>
      <c r="B65" s="724"/>
      <c r="C65" s="725"/>
      <c r="D65" s="725"/>
      <c r="E65" s="725"/>
      <c r="F65" s="725"/>
      <c r="G65" s="725"/>
      <c r="H65" s="725"/>
      <c r="I65" s="725"/>
      <c r="J65" s="725"/>
      <c r="K65" s="725"/>
      <c r="L65" s="725"/>
      <c r="M65" s="725"/>
      <c r="N65" s="725"/>
      <c r="O65" s="725"/>
      <c r="P65" s="725"/>
      <c r="Q65" s="725"/>
      <c r="R65" s="725"/>
      <c r="S65" s="725"/>
      <c r="T65" s="725"/>
      <c r="U65" s="725"/>
      <c r="V65" s="725"/>
      <c r="W65" s="725"/>
      <c r="X65" s="725"/>
      <c r="Y65" s="725"/>
      <c r="Z65" s="725"/>
      <c r="AA65" s="725"/>
      <c r="AB65" s="725"/>
      <c r="AC65" s="725"/>
      <c r="AD65" s="725"/>
      <c r="AE65" s="725"/>
      <c r="AF65" s="725"/>
      <c r="AG65" s="725"/>
      <c r="AH65" s="725"/>
      <c r="AI65" s="725"/>
      <c r="AJ65" s="725"/>
      <c r="AK65" s="725"/>
      <c r="AL65" s="725"/>
      <c r="AM65" s="725"/>
      <c r="AN65" s="725"/>
      <c r="AO65" s="725"/>
      <c r="AP65" s="725"/>
      <c r="AQ65" s="725"/>
      <c r="AR65" s="725"/>
      <c r="AS65" s="725"/>
      <c r="AT65" s="725"/>
      <c r="AU65" s="725"/>
      <c r="AV65" s="725"/>
      <c r="AW65" s="725"/>
      <c r="AX65" s="725"/>
      <c r="AY65" s="725"/>
      <c r="AZ65" s="725"/>
      <c r="BA65" s="725"/>
      <c r="BB65" s="725"/>
      <c r="BC65" s="725"/>
      <c r="BD65" s="725"/>
      <c r="BE65" s="725"/>
      <c r="BF65" s="725"/>
      <c r="BG65" s="726"/>
      <c r="BH65" s="651"/>
    </row>
    <row r="66" spans="1:60" ht="12" customHeight="1">
      <c r="A66" s="2280" t="str">
        <f>+'SP1'!A73</f>
        <v>Formulář zpracovala ASPEKT HM, daňová, účetní a auditorská kancelář, www.danovapriznani.cz, business.center.cz</v>
      </c>
      <c r="B66" s="2280"/>
      <c r="C66" s="2281"/>
      <c r="D66" s="2281"/>
      <c r="E66" s="2281"/>
      <c r="F66" s="2281"/>
      <c r="G66" s="2281"/>
      <c r="H66" s="2281"/>
      <c r="I66" s="2281"/>
      <c r="J66" s="2281"/>
      <c r="K66" s="2281"/>
      <c r="L66" s="2281"/>
      <c r="M66" s="2281"/>
      <c r="N66" s="2281"/>
      <c r="O66" s="2281"/>
      <c r="P66" s="2281"/>
      <c r="Q66" s="2281"/>
      <c r="R66" s="2281"/>
      <c r="S66" s="2281"/>
      <c r="T66" s="2281"/>
      <c r="U66" s="2281"/>
      <c r="V66" s="2281"/>
      <c r="W66" s="2281"/>
      <c r="X66" s="2281"/>
      <c r="Y66" s="2281"/>
      <c r="Z66" s="2281"/>
      <c r="AA66" s="2281"/>
      <c r="AB66" s="2281"/>
      <c r="AC66" s="2281"/>
      <c r="AD66" s="2281"/>
      <c r="AE66" s="2281"/>
      <c r="AF66" s="2281"/>
      <c r="AG66" s="2281"/>
      <c r="AH66" s="2281"/>
      <c r="AI66" s="2281"/>
      <c r="AJ66" s="2281"/>
      <c r="AK66" s="2281"/>
      <c r="AL66" s="2281"/>
      <c r="AM66" s="2281"/>
      <c r="AN66" s="2281"/>
      <c r="AO66" s="2281"/>
      <c r="AP66" s="2281"/>
      <c r="AQ66" s="2281"/>
      <c r="AR66" s="2281"/>
      <c r="AS66" s="2281"/>
      <c r="AT66" s="2281"/>
      <c r="AU66" s="2281"/>
      <c r="AV66" s="2281"/>
      <c r="AW66" s="2281"/>
      <c r="AX66" s="2281"/>
      <c r="AY66" s="2281"/>
      <c r="AZ66" s="2281"/>
      <c r="BA66" s="2281"/>
      <c r="BB66" s="2281"/>
      <c r="BC66" s="2281"/>
      <c r="BD66" s="2281"/>
      <c r="BE66" s="2281"/>
      <c r="BF66" s="2281"/>
      <c r="BG66" s="2281"/>
      <c r="BH66" s="651"/>
    </row>
    <row r="67" spans="1:60" ht="9.9499999999999993" customHeight="1">
      <c r="A67" s="2282" t="str">
        <f>+CONCATENATE(ZAKL_DATA!A44)</f>
        <v/>
      </c>
      <c r="B67" s="2282"/>
      <c r="C67" s="2283"/>
      <c r="D67" s="2283"/>
      <c r="E67" s="2283"/>
      <c r="F67" s="2283"/>
      <c r="G67" s="2283"/>
      <c r="H67" s="2283"/>
      <c r="I67" s="2283"/>
      <c r="J67" s="2283"/>
      <c r="K67" s="2283"/>
      <c r="L67" s="2283"/>
      <c r="M67" s="2283"/>
      <c r="N67" s="2283"/>
      <c r="O67" s="2283"/>
      <c r="P67" s="2283"/>
      <c r="Q67" s="2283"/>
      <c r="R67" s="2283"/>
      <c r="S67" s="2283"/>
      <c r="T67" s="2283"/>
      <c r="U67" s="2283"/>
      <c r="V67" s="2283"/>
      <c r="W67" s="2283"/>
      <c r="X67" s="2283"/>
      <c r="Y67" s="2283"/>
      <c r="Z67" s="2283"/>
      <c r="AA67" s="2283"/>
      <c r="AB67" s="2283"/>
      <c r="AC67" s="2283"/>
      <c r="AD67" s="2283"/>
      <c r="AE67" s="2283"/>
      <c r="AF67" s="2283"/>
      <c r="AG67" s="2283"/>
      <c r="AH67" s="2283"/>
      <c r="AI67" s="2283"/>
      <c r="AJ67" s="2283"/>
      <c r="AK67" s="2283"/>
      <c r="AL67" s="2283"/>
      <c r="AM67" s="2283"/>
      <c r="AN67" s="2283"/>
      <c r="AO67" s="2283"/>
      <c r="AP67" s="2283"/>
      <c r="AQ67" s="2283"/>
      <c r="AR67" s="2283"/>
      <c r="AS67" s="2283"/>
      <c r="AT67" s="2283"/>
      <c r="AU67" s="2283"/>
      <c r="AV67" s="2283"/>
      <c r="AW67" s="2283"/>
      <c r="AX67" s="2283"/>
      <c r="AY67" s="2283"/>
      <c r="AZ67" s="2283"/>
      <c r="BA67" s="2283"/>
      <c r="BB67" s="2283"/>
      <c r="BC67" s="2283"/>
      <c r="BD67" s="2283"/>
      <c r="BE67" s="2283"/>
      <c r="BF67" s="2283"/>
      <c r="BG67" s="2283"/>
      <c r="BH67" s="651"/>
    </row>
    <row r="68" spans="1:60" ht="15" customHeight="1">
      <c r="A68" s="651"/>
      <c r="B68" s="651"/>
      <c r="C68" s="651"/>
      <c r="D68" s="651"/>
      <c r="E68" s="651"/>
      <c r="F68" s="651"/>
      <c r="G68" s="651"/>
      <c r="H68" s="651"/>
      <c r="I68" s="651"/>
      <c r="J68" s="651"/>
      <c r="K68" s="651"/>
      <c r="L68" s="651"/>
      <c r="M68" s="651"/>
      <c r="N68" s="651"/>
      <c r="O68" s="651"/>
      <c r="P68" s="651"/>
      <c r="Q68" s="651"/>
      <c r="R68" s="651"/>
      <c r="S68" s="651"/>
      <c r="T68" s="651"/>
      <c r="U68" s="651"/>
      <c r="V68" s="651"/>
      <c r="W68" s="651"/>
      <c r="X68" s="651"/>
      <c r="Y68" s="651"/>
      <c r="Z68" s="651"/>
      <c r="AA68" s="651"/>
      <c r="AB68" s="651"/>
      <c r="AC68" s="651"/>
      <c r="AD68" s="651"/>
      <c r="AE68" s="651"/>
      <c r="AF68" s="651"/>
      <c r="AG68" s="651"/>
      <c r="AH68" s="651"/>
      <c r="AI68" s="651"/>
      <c r="AJ68" s="651"/>
      <c r="AK68" s="651"/>
      <c r="AL68" s="651"/>
      <c r="AM68" s="651"/>
      <c r="AN68" s="651"/>
      <c r="AO68" s="651"/>
      <c r="AP68" s="651"/>
      <c r="AQ68" s="651"/>
      <c r="AR68" s="651"/>
      <c r="AS68" s="651"/>
      <c r="AT68" s="651"/>
      <c r="AU68" s="651"/>
      <c r="AV68" s="651"/>
      <c r="AW68" s="651"/>
      <c r="AX68" s="651"/>
      <c r="AY68" s="651"/>
      <c r="AZ68" s="651"/>
      <c r="BA68" s="651"/>
      <c r="BB68" s="651"/>
      <c r="BC68" s="651"/>
      <c r="BD68" s="651"/>
      <c r="BE68" s="651"/>
      <c r="BF68" s="651"/>
      <c r="BG68" s="651"/>
      <c r="BH68" s="651"/>
    </row>
    <row r="69" spans="1:60" ht="9.9499999999999993" customHeight="1">
      <c r="A69" s="651"/>
      <c r="B69" s="651"/>
      <c r="C69" s="651"/>
      <c r="D69" s="651"/>
      <c r="E69" s="651"/>
      <c r="F69" s="651"/>
      <c r="G69" s="651"/>
      <c r="H69" s="651"/>
      <c r="I69" s="651"/>
      <c r="J69" s="651"/>
      <c r="K69" s="651"/>
      <c r="L69" s="651"/>
      <c r="M69" s="651"/>
      <c r="N69" s="651"/>
      <c r="O69" s="651"/>
      <c r="P69" s="651"/>
      <c r="Q69" s="651"/>
      <c r="R69" s="651"/>
      <c r="S69" s="651"/>
      <c r="T69" s="651"/>
      <c r="U69" s="651"/>
      <c r="V69" s="651"/>
      <c r="W69" s="651"/>
      <c r="X69" s="651"/>
      <c r="Y69" s="651"/>
      <c r="Z69" s="651"/>
      <c r="AA69" s="651"/>
      <c r="AB69" s="651"/>
      <c r="AC69" s="651"/>
      <c r="AD69" s="651"/>
      <c r="AE69" s="651"/>
      <c r="AF69" s="651"/>
      <c r="AG69" s="651"/>
      <c r="AH69" s="651"/>
      <c r="AI69" s="651"/>
      <c r="AJ69" s="651"/>
      <c r="AK69" s="651"/>
      <c r="AL69" s="651"/>
      <c r="AM69" s="651"/>
      <c r="AN69" s="651"/>
      <c r="AO69" s="651"/>
      <c r="AP69" s="651"/>
      <c r="AQ69" s="651"/>
      <c r="AR69" s="651"/>
      <c r="AS69" s="651"/>
      <c r="AT69" s="651"/>
      <c r="AU69" s="651"/>
      <c r="AV69" s="651"/>
      <c r="AW69" s="651"/>
      <c r="AX69" s="651"/>
      <c r="AY69" s="651"/>
      <c r="AZ69" s="651"/>
      <c r="BA69" s="651"/>
      <c r="BB69" s="651"/>
      <c r="BC69" s="651"/>
      <c r="BD69" s="651"/>
      <c r="BE69" s="651"/>
      <c r="BF69" s="651"/>
      <c r="BG69" s="651"/>
      <c r="BH69" s="651"/>
    </row>
    <row r="70" spans="1:60" ht="9.9499999999999993" customHeight="1">
      <c r="A70" s="651"/>
      <c r="B70" s="651"/>
      <c r="C70" s="651"/>
      <c r="D70" s="651"/>
      <c r="E70" s="651"/>
      <c r="F70" s="651"/>
      <c r="G70" s="651"/>
      <c r="H70" s="651"/>
      <c r="I70" s="651"/>
      <c r="J70" s="651"/>
      <c r="K70" s="651"/>
      <c r="L70" s="651"/>
      <c r="M70" s="651"/>
      <c r="N70" s="651"/>
      <c r="O70" s="651"/>
      <c r="P70" s="651"/>
      <c r="Q70" s="651"/>
      <c r="R70" s="651"/>
      <c r="S70" s="651"/>
      <c r="T70" s="651"/>
      <c r="U70" s="651"/>
      <c r="V70" s="651"/>
      <c r="W70" s="651"/>
      <c r="X70" s="651"/>
      <c r="Y70" s="651"/>
      <c r="Z70" s="651"/>
      <c r="AA70" s="651"/>
      <c r="AB70" s="651"/>
      <c r="AC70" s="651"/>
      <c r="AD70" s="651"/>
      <c r="AE70" s="651"/>
      <c r="AF70" s="651"/>
      <c r="AG70" s="651"/>
      <c r="AH70" s="651"/>
      <c r="AI70" s="651"/>
      <c r="AJ70" s="651"/>
      <c r="AK70" s="651"/>
      <c r="AL70" s="651"/>
      <c r="AM70" s="651"/>
      <c r="AN70" s="651"/>
      <c r="AO70" s="651"/>
      <c r="AP70" s="651"/>
      <c r="AQ70" s="651"/>
      <c r="AR70" s="651"/>
      <c r="AS70" s="651"/>
      <c r="AT70" s="651"/>
      <c r="AU70" s="651"/>
      <c r="AV70" s="651"/>
      <c r="AW70" s="651"/>
      <c r="AX70" s="651"/>
      <c r="AY70" s="651"/>
      <c r="AZ70" s="651"/>
      <c r="BA70" s="651"/>
      <c r="BB70" s="651"/>
      <c r="BC70" s="651"/>
      <c r="BD70" s="651"/>
      <c r="BE70" s="651"/>
      <c r="BF70" s="651"/>
      <c r="BG70" s="651"/>
      <c r="BH70" s="651"/>
    </row>
    <row r="71" spans="1:60" ht="9.9499999999999993" customHeight="1">
      <c r="A71" s="651"/>
      <c r="B71" s="651"/>
      <c r="C71" s="651"/>
      <c r="D71" s="651"/>
      <c r="E71" s="651"/>
      <c r="F71" s="651"/>
      <c r="G71" s="651"/>
      <c r="H71" s="651"/>
      <c r="I71" s="651"/>
      <c r="J71" s="651"/>
      <c r="K71" s="651"/>
      <c r="L71" s="651"/>
      <c r="M71" s="651"/>
      <c r="N71" s="651"/>
      <c r="O71" s="651"/>
      <c r="P71" s="651"/>
      <c r="Q71" s="651"/>
      <c r="R71" s="651"/>
      <c r="S71" s="651"/>
      <c r="T71" s="651"/>
      <c r="U71" s="651"/>
      <c r="V71" s="651"/>
      <c r="W71" s="651"/>
      <c r="X71" s="651"/>
      <c r="Y71" s="651"/>
      <c r="Z71" s="651"/>
      <c r="AA71" s="651"/>
      <c r="AB71" s="651"/>
      <c r="AC71" s="651"/>
      <c r="AD71" s="651"/>
      <c r="AE71" s="651"/>
      <c r="AF71" s="651"/>
      <c r="AG71" s="651"/>
      <c r="AH71" s="651"/>
      <c r="AI71" s="651"/>
      <c r="AJ71" s="651"/>
      <c r="AK71" s="651"/>
      <c r="AL71" s="651"/>
      <c r="AM71" s="651"/>
      <c r="AN71" s="651"/>
      <c r="AO71" s="651"/>
      <c r="AP71" s="651"/>
      <c r="AQ71" s="651"/>
      <c r="AR71" s="651"/>
      <c r="AS71" s="651"/>
      <c r="AT71" s="651"/>
      <c r="AU71" s="651"/>
      <c r="AV71" s="651"/>
      <c r="AW71" s="651"/>
      <c r="AX71" s="651"/>
      <c r="AY71" s="651"/>
      <c r="AZ71" s="651"/>
      <c r="BA71" s="651"/>
      <c r="BB71" s="651"/>
      <c r="BC71" s="651"/>
      <c r="BD71" s="651"/>
      <c r="BE71" s="651"/>
      <c r="BF71" s="651"/>
      <c r="BG71" s="651"/>
      <c r="BH71" s="651"/>
    </row>
    <row r="72" spans="1:60" ht="9.9499999999999993" customHeight="1">
      <c r="A72" s="651"/>
      <c r="B72" s="651"/>
      <c r="C72" s="651"/>
      <c r="D72" s="651"/>
      <c r="E72" s="651"/>
      <c r="F72" s="651"/>
      <c r="G72" s="651"/>
      <c r="H72" s="651"/>
      <c r="I72" s="651"/>
      <c r="J72" s="651"/>
      <c r="K72" s="651"/>
      <c r="L72" s="651"/>
      <c r="M72" s="651"/>
      <c r="N72" s="651"/>
      <c r="O72" s="651"/>
      <c r="P72" s="651"/>
      <c r="Q72" s="651"/>
      <c r="R72" s="651"/>
      <c r="S72" s="651"/>
      <c r="T72" s="651"/>
      <c r="U72" s="651"/>
      <c r="V72" s="651"/>
      <c r="W72" s="651"/>
      <c r="X72" s="651"/>
      <c r="Y72" s="651"/>
      <c r="Z72" s="651"/>
      <c r="AA72" s="651"/>
      <c r="AB72" s="651"/>
      <c r="AC72" s="651"/>
      <c r="AD72" s="651"/>
      <c r="AE72" s="651"/>
      <c r="AF72" s="651"/>
      <c r="AG72" s="651"/>
      <c r="AH72" s="651"/>
      <c r="AI72" s="651"/>
      <c r="AJ72" s="651"/>
      <c r="AK72" s="651"/>
      <c r="AL72" s="651"/>
      <c r="AM72" s="651"/>
      <c r="AN72" s="651"/>
      <c r="AO72" s="651"/>
      <c r="AP72" s="651"/>
      <c r="AQ72" s="651"/>
      <c r="AR72" s="651"/>
      <c r="AS72" s="651"/>
      <c r="AT72" s="651"/>
      <c r="AU72" s="651"/>
      <c r="AV72" s="651"/>
      <c r="AW72" s="651"/>
      <c r="AX72" s="651"/>
      <c r="AY72" s="651"/>
      <c r="AZ72" s="651"/>
      <c r="BA72" s="651"/>
      <c r="BB72" s="651"/>
      <c r="BC72" s="651"/>
      <c r="BD72" s="651"/>
      <c r="BE72" s="651"/>
      <c r="BF72" s="651"/>
      <c r="BG72" s="651"/>
      <c r="BH72" s="651"/>
    </row>
    <row r="73" spans="1:60">
      <c r="A73" s="651"/>
      <c r="B73" s="651"/>
      <c r="C73" s="651"/>
      <c r="D73" s="651"/>
      <c r="E73" s="651"/>
      <c r="F73" s="651"/>
      <c r="G73" s="651"/>
      <c r="H73" s="651"/>
      <c r="I73" s="651"/>
      <c r="J73" s="651"/>
      <c r="K73" s="651"/>
      <c r="L73" s="651"/>
      <c r="M73" s="651"/>
      <c r="N73" s="651"/>
      <c r="O73" s="651"/>
      <c r="P73" s="651"/>
      <c r="Q73" s="651"/>
      <c r="R73" s="651"/>
      <c r="S73" s="651"/>
      <c r="T73" s="651"/>
      <c r="U73" s="651"/>
      <c r="V73" s="651"/>
      <c r="W73" s="651"/>
      <c r="X73" s="651"/>
      <c r="Y73" s="651"/>
      <c r="Z73" s="651"/>
      <c r="AA73" s="651"/>
      <c r="AB73" s="651"/>
      <c r="AC73" s="651"/>
      <c r="AD73" s="651"/>
      <c r="AE73" s="651"/>
      <c r="AF73" s="651"/>
      <c r="AG73" s="651"/>
      <c r="AH73" s="651"/>
      <c r="AI73" s="651"/>
      <c r="AJ73" s="651"/>
      <c r="AK73" s="651"/>
      <c r="AL73" s="651"/>
      <c r="AM73" s="651"/>
      <c r="AN73" s="651"/>
      <c r="AO73" s="651"/>
      <c r="AP73" s="651"/>
      <c r="AQ73" s="651"/>
      <c r="AR73" s="651"/>
      <c r="AS73" s="651"/>
      <c r="AT73" s="651"/>
      <c r="AU73" s="651"/>
      <c r="AV73" s="651"/>
      <c r="AW73" s="651"/>
      <c r="AX73" s="651"/>
      <c r="AY73" s="651"/>
      <c r="AZ73" s="651"/>
      <c r="BA73" s="651"/>
      <c r="BB73" s="651"/>
      <c r="BC73" s="651"/>
      <c r="BD73" s="651"/>
      <c r="BE73" s="651"/>
      <c r="BF73" s="651"/>
      <c r="BG73" s="651"/>
      <c r="BH73" s="651"/>
    </row>
    <row r="74" spans="1:60" ht="15" customHeight="1">
      <c r="A74" s="651"/>
      <c r="B74" s="651"/>
      <c r="C74" s="651"/>
      <c r="D74" s="651"/>
      <c r="E74" s="651"/>
      <c r="F74" s="651"/>
      <c r="G74" s="651"/>
      <c r="H74" s="651"/>
      <c r="I74" s="651"/>
      <c r="J74" s="651"/>
      <c r="K74" s="651"/>
      <c r="L74" s="651"/>
      <c r="M74" s="651"/>
      <c r="N74" s="651"/>
      <c r="O74" s="651"/>
      <c r="P74" s="651"/>
      <c r="Q74" s="651"/>
      <c r="R74" s="651"/>
      <c r="S74" s="651"/>
      <c r="T74" s="651"/>
      <c r="U74" s="651"/>
      <c r="V74" s="651"/>
      <c r="W74" s="651"/>
      <c r="X74" s="651"/>
      <c r="Y74" s="651"/>
      <c r="Z74" s="651"/>
      <c r="AA74" s="651"/>
      <c r="AB74" s="651"/>
      <c r="AC74" s="651"/>
      <c r="AD74" s="651"/>
      <c r="AE74" s="651"/>
      <c r="AF74" s="651"/>
      <c r="AG74" s="651"/>
      <c r="AH74" s="651"/>
      <c r="AI74" s="651"/>
      <c r="AJ74" s="651"/>
      <c r="AK74" s="651"/>
      <c r="AL74" s="651"/>
      <c r="AM74" s="651"/>
      <c r="AN74" s="651"/>
      <c r="AO74" s="651"/>
      <c r="AP74" s="651"/>
      <c r="AQ74" s="651"/>
      <c r="AR74" s="651"/>
      <c r="AS74" s="651"/>
      <c r="AT74" s="651"/>
      <c r="AU74" s="651"/>
      <c r="AV74" s="651"/>
      <c r="AW74" s="651"/>
      <c r="AX74" s="651"/>
      <c r="AY74" s="651"/>
      <c r="AZ74" s="651"/>
      <c r="BA74" s="651"/>
      <c r="BB74" s="651"/>
      <c r="BC74" s="651"/>
      <c r="BD74" s="651"/>
      <c r="BE74" s="651"/>
      <c r="BF74" s="651"/>
      <c r="BG74" s="651"/>
      <c r="BH74" s="651"/>
    </row>
    <row r="75" spans="1:60">
      <c r="A75" s="651"/>
      <c r="B75" s="651"/>
      <c r="C75" s="651"/>
      <c r="D75" s="651"/>
      <c r="E75" s="651"/>
      <c r="F75" s="651"/>
      <c r="G75" s="651"/>
      <c r="H75" s="651"/>
      <c r="I75" s="651"/>
      <c r="J75" s="651"/>
      <c r="K75" s="651"/>
      <c r="L75" s="651"/>
      <c r="M75" s="651"/>
      <c r="N75" s="651"/>
      <c r="O75" s="651"/>
      <c r="P75" s="651"/>
      <c r="Q75" s="651"/>
      <c r="R75" s="651"/>
      <c r="S75" s="651"/>
      <c r="T75" s="651"/>
      <c r="U75" s="651"/>
      <c r="V75" s="651"/>
      <c r="W75" s="651"/>
      <c r="X75" s="651"/>
      <c r="Y75" s="651"/>
      <c r="Z75" s="651"/>
      <c r="AA75" s="651"/>
      <c r="AB75" s="651"/>
      <c r="AC75" s="651"/>
      <c r="AD75" s="651"/>
      <c r="AE75" s="651"/>
      <c r="AF75" s="651"/>
      <c r="AG75" s="651"/>
      <c r="AH75" s="651"/>
      <c r="AI75" s="651"/>
      <c r="AJ75" s="651"/>
      <c r="AK75" s="651"/>
      <c r="AL75" s="651"/>
      <c r="AM75" s="651"/>
      <c r="AN75" s="651"/>
      <c r="AO75" s="651"/>
      <c r="AP75" s="651"/>
      <c r="AQ75" s="651"/>
      <c r="AR75" s="651"/>
      <c r="AS75" s="651"/>
      <c r="AT75" s="651"/>
      <c r="AU75" s="651"/>
      <c r="AV75" s="651"/>
      <c r="AW75" s="651"/>
      <c r="AX75" s="651"/>
      <c r="AY75" s="651"/>
      <c r="AZ75" s="651"/>
      <c r="BA75" s="651"/>
      <c r="BB75" s="651"/>
      <c r="BC75" s="651"/>
      <c r="BD75" s="651"/>
      <c r="BE75" s="651"/>
      <c r="BF75" s="651"/>
      <c r="BG75" s="651"/>
      <c r="BH75" s="651"/>
    </row>
    <row r="76" spans="1:60" ht="8.1" customHeight="1">
      <c r="A76" s="651"/>
      <c r="B76" s="651"/>
      <c r="C76" s="651"/>
      <c r="D76" s="651"/>
      <c r="E76" s="651"/>
      <c r="F76" s="651"/>
      <c r="G76" s="651"/>
      <c r="H76" s="651"/>
      <c r="I76" s="651"/>
      <c r="J76" s="651"/>
      <c r="K76" s="651"/>
      <c r="L76" s="651"/>
      <c r="M76" s="651"/>
      <c r="N76" s="651"/>
      <c r="O76" s="651"/>
      <c r="P76" s="651"/>
      <c r="Q76" s="651"/>
      <c r="R76" s="651"/>
      <c r="S76" s="651"/>
      <c r="T76" s="651"/>
      <c r="U76" s="651"/>
      <c r="V76" s="651"/>
      <c r="W76" s="651"/>
      <c r="X76" s="651"/>
      <c r="Y76" s="651"/>
      <c r="Z76" s="651"/>
      <c r="AA76" s="651"/>
      <c r="AB76" s="651"/>
      <c r="AC76" s="651"/>
      <c r="AD76" s="651"/>
      <c r="AE76" s="651"/>
      <c r="AF76" s="651"/>
      <c r="AG76" s="651"/>
      <c r="AH76" s="651"/>
      <c r="AI76" s="651"/>
      <c r="AJ76" s="651"/>
      <c r="AK76" s="651"/>
      <c r="AL76" s="651"/>
      <c r="AM76" s="651"/>
      <c r="AN76" s="651"/>
      <c r="AO76" s="651"/>
      <c r="AP76" s="651"/>
      <c r="AQ76" s="651"/>
      <c r="AR76" s="651"/>
      <c r="AS76" s="651"/>
      <c r="AT76" s="651"/>
      <c r="AU76" s="651"/>
      <c r="AV76" s="651"/>
      <c r="AW76" s="651"/>
      <c r="AX76" s="651"/>
      <c r="AY76" s="651"/>
      <c r="AZ76" s="651"/>
      <c r="BA76" s="651"/>
      <c r="BB76" s="651"/>
      <c r="BC76" s="651"/>
      <c r="BD76" s="651"/>
      <c r="BE76" s="651"/>
      <c r="BF76" s="651"/>
      <c r="BG76" s="651"/>
      <c r="BH76" s="651"/>
    </row>
    <row r="77" spans="1:60">
      <c r="A77" s="651"/>
      <c r="B77" s="651"/>
      <c r="C77" s="651"/>
      <c r="D77" s="651"/>
      <c r="E77" s="651"/>
      <c r="F77" s="651"/>
      <c r="G77" s="651"/>
      <c r="H77" s="651"/>
      <c r="I77" s="651"/>
      <c r="J77" s="651"/>
      <c r="K77" s="651"/>
      <c r="L77" s="651"/>
      <c r="M77" s="651"/>
      <c r="N77" s="651"/>
      <c r="O77" s="651"/>
      <c r="P77" s="651"/>
      <c r="Q77" s="651"/>
      <c r="R77" s="651"/>
      <c r="S77" s="651"/>
      <c r="T77" s="651"/>
      <c r="U77" s="651"/>
      <c r="V77" s="651"/>
      <c r="W77" s="651"/>
      <c r="X77" s="651"/>
      <c r="Y77" s="651"/>
      <c r="Z77" s="651"/>
      <c r="AA77" s="651"/>
      <c r="AB77" s="651"/>
      <c r="AC77" s="651"/>
      <c r="AD77" s="651"/>
      <c r="AE77" s="651"/>
      <c r="AF77" s="651"/>
      <c r="AG77" s="651"/>
      <c r="AH77" s="651"/>
      <c r="AI77" s="651"/>
      <c r="AJ77" s="651"/>
      <c r="AK77" s="651"/>
      <c r="AL77" s="651"/>
      <c r="AM77" s="651"/>
      <c r="AN77" s="651"/>
      <c r="AO77" s="651"/>
      <c r="AP77" s="651"/>
      <c r="AQ77" s="651"/>
      <c r="AR77" s="651"/>
      <c r="AS77" s="651"/>
      <c r="AT77" s="651"/>
      <c r="AU77" s="651"/>
      <c r="AV77" s="651"/>
      <c r="AW77" s="651"/>
      <c r="AX77" s="651"/>
      <c r="AY77" s="651"/>
      <c r="AZ77" s="651"/>
      <c r="BA77" s="651"/>
      <c r="BB77" s="651"/>
      <c r="BC77" s="651"/>
      <c r="BD77" s="651"/>
      <c r="BE77" s="651"/>
      <c r="BF77" s="651"/>
      <c r="BG77" s="651"/>
      <c r="BH77" s="651"/>
    </row>
    <row r="78" spans="1:60">
      <c r="A78" s="651"/>
      <c r="B78" s="651"/>
      <c r="C78" s="651"/>
      <c r="D78" s="651"/>
      <c r="E78" s="651"/>
      <c r="F78" s="651"/>
      <c r="G78" s="651"/>
      <c r="H78" s="651"/>
      <c r="I78" s="651"/>
      <c r="J78" s="651"/>
      <c r="K78" s="651"/>
      <c r="L78" s="651"/>
      <c r="M78" s="651"/>
      <c r="N78" s="651"/>
      <c r="O78" s="651"/>
      <c r="P78" s="651"/>
      <c r="Q78" s="651"/>
      <c r="R78" s="651"/>
      <c r="S78" s="651"/>
      <c r="T78" s="651"/>
      <c r="U78" s="651"/>
      <c r="V78" s="651"/>
      <c r="W78" s="651"/>
      <c r="X78" s="651"/>
      <c r="Y78" s="651"/>
      <c r="Z78" s="651"/>
      <c r="AA78" s="651"/>
      <c r="AB78" s="651"/>
      <c r="AC78" s="651"/>
      <c r="AD78" s="651"/>
      <c r="AE78" s="651"/>
      <c r="AF78" s="651"/>
      <c r="AG78" s="651"/>
      <c r="AH78" s="651"/>
      <c r="AI78" s="651"/>
      <c r="AJ78" s="651"/>
      <c r="AK78" s="651"/>
      <c r="AL78" s="651"/>
      <c r="AM78" s="651"/>
      <c r="AN78" s="651"/>
      <c r="AO78" s="651"/>
      <c r="AP78" s="651"/>
      <c r="AQ78" s="651"/>
      <c r="AR78" s="651"/>
      <c r="AS78" s="651"/>
      <c r="AT78" s="651"/>
      <c r="AU78" s="651"/>
      <c r="AV78" s="651"/>
      <c r="AW78" s="651"/>
      <c r="AX78" s="651"/>
      <c r="AY78" s="651"/>
      <c r="AZ78" s="651"/>
      <c r="BA78" s="651"/>
      <c r="BB78" s="651"/>
      <c r="BC78" s="651"/>
      <c r="BD78" s="651"/>
      <c r="BE78" s="651"/>
      <c r="BF78" s="651"/>
      <c r="BG78" s="651"/>
      <c r="BH78" s="651"/>
    </row>
    <row r="79" spans="1:60">
      <c r="A79" s="651"/>
      <c r="B79" s="651"/>
      <c r="C79" s="651"/>
      <c r="D79" s="651"/>
      <c r="E79" s="651"/>
      <c r="F79" s="651"/>
      <c r="G79" s="651"/>
      <c r="H79" s="651"/>
      <c r="I79" s="651"/>
      <c r="J79" s="651"/>
      <c r="K79" s="651"/>
      <c r="L79" s="651"/>
      <c r="M79" s="651"/>
      <c r="N79" s="651"/>
      <c r="O79" s="651"/>
      <c r="P79" s="651"/>
      <c r="Q79" s="651"/>
      <c r="R79" s="651"/>
      <c r="S79" s="651"/>
      <c r="T79" s="651"/>
      <c r="U79" s="651"/>
      <c r="V79" s="651"/>
      <c r="W79" s="651"/>
      <c r="X79" s="651"/>
      <c r="Y79" s="651"/>
      <c r="Z79" s="651"/>
      <c r="AA79" s="651"/>
      <c r="AB79" s="651"/>
      <c r="AC79" s="651"/>
      <c r="AD79" s="651"/>
      <c r="AE79" s="651"/>
      <c r="AF79" s="651"/>
      <c r="AG79" s="651"/>
      <c r="AH79" s="651"/>
      <c r="AI79" s="651"/>
      <c r="AJ79" s="651"/>
      <c r="AK79" s="651"/>
      <c r="AL79" s="651"/>
      <c r="AM79" s="651"/>
      <c r="AN79" s="651"/>
      <c r="AO79" s="651"/>
      <c r="AP79" s="651"/>
      <c r="AQ79" s="651"/>
      <c r="AR79" s="651"/>
      <c r="AS79" s="651"/>
      <c r="AT79" s="651"/>
      <c r="AU79" s="651"/>
      <c r="AV79" s="651"/>
      <c r="AW79" s="651"/>
      <c r="AX79" s="651"/>
      <c r="AY79" s="651"/>
      <c r="AZ79" s="651"/>
      <c r="BA79" s="651"/>
      <c r="BB79" s="651"/>
      <c r="BC79" s="651"/>
      <c r="BD79" s="651"/>
      <c r="BE79" s="651"/>
      <c r="BF79" s="651"/>
      <c r="BG79" s="651"/>
      <c r="BH79" s="651"/>
    </row>
    <row r="80" spans="1:60">
      <c r="A80" s="651"/>
      <c r="B80" s="651"/>
      <c r="C80" s="651"/>
      <c r="D80" s="651"/>
      <c r="E80" s="651"/>
      <c r="F80" s="651"/>
      <c r="G80" s="651"/>
      <c r="H80" s="651"/>
      <c r="I80" s="651"/>
      <c r="J80" s="651"/>
      <c r="K80" s="651"/>
      <c r="L80" s="651"/>
      <c r="M80" s="651"/>
      <c r="N80" s="651"/>
      <c r="O80" s="651"/>
      <c r="P80" s="651"/>
      <c r="Q80" s="651"/>
      <c r="R80" s="651"/>
      <c r="S80" s="651"/>
      <c r="T80" s="651"/>
      <c r="U80" s="651"/>
      <c r="V80" s="651"/>
      <c r="W80" s="651"/>
      <c r="X80" s="651"/>
      <c r="Y80" s="651"/>
      <c r="Z80" s="651"/>
      <c r="AA80" s="651"/>
      <c r="AB80" s="651"/>
      <c r="AC80" s="651"/>
      <c r="AD80" s="651"/>
      <c r="AE80" s="651"/>
      <c r="AF80" s="651"/>
      <c r="AG80" s="651"/>
      <c r="AH80" s="651"/>
      <c r="AI80" s="651"/>
      <c r="AJ80" s="651"/>
      <c r="AK80" s="651"/>
      <c r="AL80" s="651"/>
      <c r="AM80" s="651"/>
      <c r="AN80" s="651"/>
      <c r="AO80" s="651"/>
      <c r="AP80" s="651"/>
      <c r="AQ80" s="651"/>
      <c r="AR80" s="651"/>
      <c r="AS80" s="651"/>
      <c r="AT80" s="651"/>
      <c r="AU80" s="651"/>
      <c r="AV80" s="651"/>
      <c r="AW80" s="651"/>
      <c r="AX80" s="651"/>
      <c r="AY80" s="651"/>
      <c r="AZ80" s="651"/>
      <c r="BA80" s="651"/>
      <c r="BB80" s="651"/>
      <c r="BC80" s="651"/>
      <c r="BD80" s="651"/>
      <c r="BE80" s="651"/>
      <c r="BF80" s="651"/>
      <c r="BG80" s="651"/>
      <c r="BH80" s="651"/>
    </row>
    <row r="81" spans="1:60">
      <c r="A81" s="651"/>
      <c r="B81" s="651"/>
      <c r="C81" s="651"/>
      <c r="D81" s="651"/>
      <c r="E81" s="651"/>
      <c r="F81" s="651"/>
      <c r="G81" s="651"/>
      <c r="H81" s="651"/>
      <c r="I81" s="651"/>
      <c r="J81" s="651"/>
      <c r="K81" s="651"/>
      <c r="L81" s="651"/>
      <c r="M81" s="651"/>
      <c r="N81" s="651"/>
      <c r="O81" s="651"/>
      <c r="P81" s="651"/>
      <c r="Q81" s="651"/>
      <c r="R81" s="651"/>
      <c r="S81" s="651"/>
      <c r="T81" s="651"/>
      <c r="U81" s="651"/>
      <c r="V81" s="651"/>
      <c r="W81" s="651"/>
      <c r="X81" s="651"/>
      <c r="Y81" s="651"/>
      <c r="Z81" s="651"/>
      <c r="AA81" s="651"/>
      <c r="AB81" s="651"/>
      <c r="AC81" s="651"/>
      <c r="AD81" s="651"/>
      <c r="AE81" s="651"/>
      <c r="AF81" s="651"/>
      <c r="AG81" s="651"/>
      <c r="AH81" s="651"/>
      <c r="AI81" s="651"/>
      <c r="AJ81" s="651"/>
      <c r="AK81" s="651"/>
      <c r="AL81" s="651"/>
      <c r="AM81" s="651"/>
      <c r="AN81" s="651"/>
      <c r="AO81" s="651"/>
      <c r="AP81" s="651"/>
      <c r="AQ81" s="651"/>
      <c r="AR81" s="651"/>
      <c r="AS81" s="651"/>
      <c r="AT81" s="651"/>
      <c r="AU81" s="651"/>
      <c r="AV81" s="651"/>
      <c r="AW81" s="651"/>
      <c r="AX81" s="651"/>
      <c r="AY81" s="651"/>
      <c r="AZ81" s="651"/>
      <c r="BA81" s="651"/>
      <c r="BB81" s="651"/>
      <c r="BC81" s="651"/>
      <c r="BD81" s="651"/>
      <c r="BE81" s="651"/>
      <c r="BF81" s="651"/>
      <c r="BG81" s="651"/>
      <c r="BH81" s="651"/>
    </row>
    <row r="82" spans="1:60">
      <c r="A82" s="651"/>
      <c r="B82" s="651"/>
      <c r="C82" s="651"/>
      <c r="D82" s="651"/>
      <c r="E82" s="651"/>
      <c r="F82" s="651"/>
      <c r="G82" s="651"/>
      <c r="H82" s="651"/>
      <c r="I82" s="651"/>
      <c r="J82" s="651"/>
      <c r="K82" s="651"/>
      <c r="L82" s="651"/>
      <c r="M82" s="651"/>
      <c r="N82" s="651"/>
      <c r="O82" s="651"/>
      <c r="P82" s="651"/>
      <c r="Q82" s="651"/>
      <c r="R82" s="651"/>
      <c r="S82" s="651"/>
      <c r="T82" s="651"/>
      <c r="U82" s="651"/>
      <c r="V82" s="651"/>
      <c r="W82" s="651"/>
      <c r="X82" s="651"/>
      <c r="Y82" s="651"/>
      <c r="Z82" s="651"/>
      <c r="AA82" s="651"/>
      <c r="AB82" s="651"/>
      <c r="AC82" s="651"/>
      <c r="AD82" s="651"/>
      <c r="AE82" s="651"/>
      <c r="AF82" s="651"/>
      <c r="AG82" s="651"/>
      <c r="AH82" s="651"/>
      <c r="AI82" s="651"/>
      <c r="AJ82" s="651"/>
      <c r="AK82" s="651"/>
      <c r="AL82" s="651"/>
      <c r="AM82" s="651"/>
      <c r="AN82" s="651"/>
      <c r="AO82" s="651"/>
      <c r="AP82" s="651"/>
      <c r="AQ82" s="651"/>
      <c r="AR82" s="651"/>
      <c r="AS82" s="651"/>
      <c r="AT82" s="651"/>
      <c r="AU82" s="651"/>
      <c r="AV82" s="651"/>
      <c r="AW82" s="651"/>
      <c r="AX82" s="651"/>
      <c r="AY82" s="651"/>
      <c r="AZ82" s="651"/>
      <c r="BA82" s="651"/>
      <c r="BB82" s="651"/>
      <c r="BC82" s="651"/>
      <c r="BD82" s="651"/>
      <c r="BE82" s="651"/>
      <c r="BF82" s="651"/>
      <c r="BG82" s="651"/>
      <c r="BH82" s="651"/>
    </row>
    <row r="83" spans="1:60">
      <c r="A83" s="651"/>
      <c r="B83" s="651"/>
      <c r="C83" s="651"/>
      <c r="D83" s="651"/>
      <c r="E83" s="651"/>
      <c r="F83" s="651"/>
      <c r="G83" s="651"/>
      <c r="H83" s="651"/>
      <c r="I83" s="651"/>
      <c r="J83" s="651"/>
      <c r="K83" s="651"/>
      <c r="L83" s="651"/>
      <c r="M83" s="651"/>
      <c r="N83" s="651"/>
      <c r="O83" s="651"/>
      <c r="P83" s="651"/>
      <c r="Q83" s="651"/>
      <c r="R83" s="651"/>
      <c r="S83" s="651"/>
      <c r="T83" s="651"/>
      <c r="U83" s="651"/>
      <c r="V83" s="651"/>
      <c r="W83" s="651"/>
      <c r="X83" s="651"/>
      <c r="Y83" s="651"/>
      <c r="Z83" s="651"/>
      <c r="AA83" s="651"/>
      <c r="AB83" s="651"/>
      <c r="AC83" s="651"/>
      <c r="AD83" s="651"/>
      <c r="AE83" s="651"/>
      <c r="AF83" s="651"/>
      <c r="AG83" s="651"/>
      <c r="AH83" s="651"/>
      <c r="AI83" s="651"/>
      <c r="AJ83" s="651"/>
      <c r="AK83" s="651"/>
      <c r="AL83" s="651"/>
      <c r="AM83" s="651"/>
      <c r="AN83" s="651"/>
      <c r="AO83" s="651"/>
      <c r="AP83" s="651"/>
      <c r="AQ83" s="651"/>
      <c r="AR83" s="651"/>
      <c r="AS83" s="651"/>
      <c r="AT83" s="651"/>
      <c r="AU83" s="651"/>
      <c r="AV83" s="651"/>
      <c r="AW83" s="651"/>
      <c r="AX83" s="651"/>
      <c r="AY83" s="651"/>
      <c r="AZ83" s="651"/>
      <c r="BA83" s="651"/>
      <c r="BB83" s="651"/>
      <c r="BC83" s="651"/>
      <c r="BD83" s="651"/>
      <c r="BE83" s="651"/>
      <c r="BF83" s="651"/>
      <c r="BG83" s="651"/>
      <c r="BH83" s="651"/>
    </row>
    <row r="84" spans="1:60">
      <c r="A84" s="651"/>
      <c r="B84" s="651"/>
      <c r="C84" s="651"/>
      <c r="D84" s="651"/>
      <c r="E84" s="651"/>
      <c r="F84" s="651"/>
      <c r="G84" s="651"/>
      <c r="H84" s="651"/>
      <c r="I84" s="651"/>
      <c r="J84" s="651"/>
      <c r="K84" s="651"/>
      <c r="L84" s="651"/>
      <c r="M84" s="651"/>
      <c r="N84" s="651"/>
      <c r="O84" s="651"/>
      <c r="P84" s="651"/>
      <c r="Q84" s="651"/>
      <c r="R84" s="651"/>
      <c r="S84" s="651"/>
      <c r="T84" s="651"/>
      <c r="U84" s="651"/>
      <c r="V84" s="651"/>
      <c r="W84" s="651"/>
      <c r="X84" s="651"/>
      <c r="Y84" s="651"/>
      <c r="Z84" s="651"/>
      <c r="AA84" s="651"/>
      <c r="AB84" s="651"/>
      <c r="AC84" s="651"/>
      <c r="AD84" s="651"/>
      <c r="AE84" s="651"/>
      <c r="AF84" s="651"/>
      <c r="AG84" s="651"/>
      <c r="AH84" s="651"/>
      <c r="AI84" s="651"/>
      <c r="AJ84" s="651"/>
      <c r="AK84" s="651"/>
      <c r="AL84" s="651"/>
      <c r="AM84" s="651"/>
      <c r="AN84" s="651"/>
      <c r="AO84" s="651"/>
      <c r="AP84" s="651"/>
      <c r="AQ84" s="651"/>
      <c r="AR84" s="651"/>
      <c r="AS84" s="651"/>
      <c r="AT84" s="651"/>
      <c r="AU84" s="651"/>
      <c r="AV84" s="651"/>
      <c r="AW84" s="651"/>
      <c r="AX84" s="651"/>
      <c r="AY84" s="651"/>
      <c r="AZ84" s="651"/>
      <c r="BA84" s="651"/>
      <c r="BB84" s="651"/>
      <c r="BC84" s="651"/>
      <c r="BD84" s="651"/>
      <c r="BE84" s="651"/>
      <c r="BF84" s="651"/>
      <c r="BG84" s="651"/>
      <c r="BH84" s="651"/>
    </row>
    <row r="85" spans="1:60">
      <c r="A85" s="651"/>
      <c r="B85" s="651"/>
      <c r="C85" s="651"/>
      <c r="D85" s="651"/>
      <c r="E85" s="651"/>
      <c r="F85" s="651"/>
      <c r="G85" s="651"/>
      <c r="H85" s="651"/>
      <c r="I85" s="651"/>
      <c r="J85" s="651"/>
      <c r="K85" s="651"/>
      <c r="L85" s="651"/>
      <c r="M85" s="651"/>
      <c r="N85" s="651"/>
      <c r="O85" s="651"/>
      <c r="P85" s="651"/>
      <c r="Q85" s="651"/>
      <c r="R85" s="651"/>
      <c r="S85" s="651"/>
      <c r="T85" s="651"/>
      <c r="U85" s="651"/>
      <c r="V85" s="651"/>
      <c r="W85" s="651"/>
      <c r="X85" s="651"/>
      <c r="Y85" s="651"/>
      <c r="Z85" s="651"/>
      <c r="AA85" s="651"/>
      <c r="AB85" s="651"/>
      <c r="AC85" s="651"/>
      <c r="AD85" s="651"/>
      <c r="AE85" s="651"/>
      <c r="AF85" s="651"/>
      <c r="AG85" s="651"/>
      <c r="AH85" s="651"/>
      <c r="AI85" s="651"/>
      <c r="AJ85" s="651"/>
      <c r="AK85" s="651"/>
      <c r="AL85" s="651"/>
      <c r="AM85" s="651"/>
      <c r="AN85" s="651"/>
      <c r="AO85" s="651"/>
      <c r="AP85" s="651"/>
      <c r="AQ85" s="651"/>
      <c r="AR85" s="651"/>
      <c r="AS85" s="651"/>
      <c r="AT85" s="651"/>
      <c r="AU85" s="651"/>
      <c r="AV85" s="651"/>
      <c r="AW85" s="651"/>
      <c r="AX85" s="651"/>
      <c r="AY85" s="651"/>
      <c r="AZ85" s="651"/>
      <c r="BA85" s="651"/>
      <c r="BB85" s="651"/>
      <c r="BC85" s="651"/>
      <c r="BD85" s="651"/>
      <c r="BE85" s="651"/>
      <c r="BF85" s="651"/>
      <c r="BG85" s="651"/>
      <c r="BH85" s="651"/>
    </row>
    <row r="86" spans="1:60">
      <c r="A86" s="651"/>
      <c r="B86" s="651"/>
      <c r="C86" s="651"/>
      <c r="D86" s="651"/>
      <c r="E86" s="651"/>
      <c r="F86" s="651"/>
      <c r="G86" s="651"/>
      <c r="H86" s="651"/>
      <c r="I86" s="651"/>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1"/>
      <c r="AL86" s="651"/>
      <c r="AM86" s="651"/>
      <c r="AN86" s="651"/>
      <c r="AO86" s="651"/>
      <c r="AP86" s="651"/>
      <c r="AQ86" s="651"/>
      <c r="AR86" s="651"/>
      <c r="AS86" s="651"/>
      <c r="AT86" s="651"/>
      <c r="AU86" s="651"/>
      <c r="AV86" s="651"/>
      <c r="AW86" s="651"/>
      <c r="AX86" s="651"/>
      <c r="AY86" s="651"/>
      <c r="AZ86" s="651"/>
      <c r="BA86" s="651"/>
      <c r="BB86" s="651"/>
      <c r="BC86" s="651"/>
      <c r="BD86" s="651"/>
      <c r="BE86" s="651"/>
      <c r="BF86" s="651"/>
      <c r="BG86" s="651"/>
      <c r="BH86" s="651"/>
    </row>
    <row r="87" spans="1:60">
      <c r="A87" s="651"/>
      <c r="B87" s="651"/>
      <c r="C87" s="651"/>
      <c r="D87" s="651"/>
      <c r="E87" s="651"/>
      <c r="F87" s="651"/>
      <c r="G87" s="651"/>
      <c r="H87" s="651"/>
      <c r="I87" s="651"/>
      <c r="J87" s="651"/>
      <c r="K87" s="651"/>
      <c r="L87" s="651"/>
      <c r="M87" s="651"/>
      <c r="N87" s="651"/>
      <c r="O87" s="651"/>
      <c r="P87" s="651"/>
      <c r="Q87" s="651"/>
      <c r="R87" s="651"/>
      <c r="S87" s="651"/>
      <c r="T87" s="651"/>
      <c r="U87" s="651"/>
      <c r="V87" s="651"/>
      <c r="W87" s="651"/>
      <c r="X87" s="651"/>
      <c r="Y87" s="651"/>
      <c r="Z87" s="651"/>
      <c r="AA87" s="651"/>
      <c r="AB87" s="651"/>
      <c r="AC87" s="651"/>
      <c r="AD87" s="651"/>
      <c r="AE87" s="651"/>
      <c r="AF87" s="651"/>
      <c r="AG87" s="651"/>
      <c r="AH87" s="651"/>
      <c r="AI87" s="651"/>
      <c r="AJ87" s="651"/>
      <c r="AK87" s="651"/>
      <c r="AL87" s="651"/>
      <c r="AM87" s="651"/>
      <c r="AN87" s="651"/>
      <c r="AO87" s="651"/>
      <c r="AP87" s="651"/>
      <c r="AQ87" s="651"/>
      <c r="AR87" s="651"/>
      <c r="AS87" s="651"/>
      <c r="AT87" s="651"/>
      <c r="AU87" s="651"/>
      <c r="AV87" s="651"/>
      <c r="AW87" s="651"/>
      <c r="AX87" s="651"/>
      <c r="AY87" s="651"/>
      <c r="AZ87" s="651"/>
      <c r="BA87" s="651"/>
      <c r="BB87" s="651"/>
      <c r="BC87" s="651"/>
      <c r="BD87" s="651"/>
      <c r="BE87" s="651"/>
      <c r="BF87" s="651"/>
      <c r="BG87" s="651"/>
      <c r="BH87" s="651"/>
    </row>
    <row r="88" spans="1:60">
      <c r="A88" s="651"/>
      <c r="B88" s="651"/>
      <c r="C88" s="651"/>
      <c r="D88" s="651"/>
      <c r="E88" s="651"/>
      <c r="F88" s="651"/>
      <c r="G88" s="651"/>
      <c r="H88" s="651"/>
      <c r="I88" s="651"/>
      <c r="J88" s="651"/>
      <c r="K88" s="651"/>
      <c r="L88" s="651"/>
      <c r="M88" s="651"/>
      <c r="N88" s="651"/>
      <c r="O88" s="651"/>
      <c r="P88" s="651"/>
      <c r="Q88" s="651"/>
      <c r="R88" s="651"/>
      <c r="S88" s="651"/>
      <c r="T88" s="651"/>
      <c r="U88" s="651"/>
      <c r="V88" s="651"/>
      <c r="W88" s="651"/>
      <c r="X88" s="651"/>
      <c r="Y88" s="651"/>
      <c r="Z88" s="651"/>
      <c r="AA88" s="651"/>
      <c r="AB88" s="651"/>
      <c r="AC88" s="651"/>
      <c r="AD88" s="651"/>
      <c r="AE88" s="651"/>
      <c r="AF88" s="651"/>
      <c r="AG88" s="651"/>
      <c r="AH88" s="651"/>
      <c r="AI88" s="651"/>
      <c r="AJ88" s="651"/>
      <c r="AK88" s="651"/>
      <c r="AL88" s="651"/>
      <c r="AM88" s="651"/>
      <c r="AN88" s="651"/>
      <c r="AO88" s="651"/>
      <c r="AP88" s="651"/>
      <c r="AQ88" s="651"/>
      <c r="AR88" s="651"/>
      <c r="AS88" s="651"/>
      <c r="AT88" s="651"/>
      <c r="AU88" s="651"/>
      <c r="AV88" s="651"/>
      <c r="AW88" s="651"/>
      <c r="AX88" s="651"/>
      <c r="AY88" s="651"/>
      <c r="AZ88" s="651"/>
      <c r="BA88" s="651"/>
      <c r="BB88" s="651"/>
      <c r="BC88" s="651"/>
      <c r="BD88" s="651"/>
      <c r="BE88" s="651"/>
      <c r="BF88" s="651"/>
      <c r="BG88" s="651"/>
      <c r="BH88" s="651"/>
    </row>
    <row r="89" spans="1:60">
      <c r="A89" s="651"/>
      <c r="B89" s="651"/>
      <c r="C89" s="651"/>
      <c r="D89" s="651"/>
      <c r="E89" s="651"/>
      <c r="F89" s="651"/>
      <c r="G89" s="651"/>
      <c r="H89" s="651"/>
      <c r="I89" s="651"/>
      <c r="J89" s="651"/>
      <c r="K89" s="651"/>
      <c r="L89" s="651"/>
      <c r="M89" s="651"/>
      <c r="N89" s="651"/>
      <c r="O89" s="651"/>
      <c r="P89" s="651"/>
      <c r="Q89" s="651"/>
      <c r="R89" s="651"/>
      <c r="S89" s="651"/>
      <c r="T89" s="651"/>
      <c r="U89" s="651"/>
      <c r="V89" s="651"/>
      <c r="W89" s="651"/>
      <c r="X89" s="651"/>
      <c r="Y89" s="651"/>
      <c r="Z89" s="651"/>
      <c r="AA89" s="651"/>
      <c r="AB89" s="651"/>
      <c r="AC89" s="651"/>
      <c r="AD89" s="651"/>
      <c r="AE89" s="651"/>
      <c r="AF89" s="651"/>
      <c r="AG89" s="651"/>
      <c r="AH89" s="651"/>
      <c r="AI89" s="651"/>
      <c r="AJ89" s="651"/>
      <c r="AK89" s="651"/>
      <c r="AL89" s="651"/>
      <c r="AM89" s="651"/>
      <c r="AN89" s="651"/>
      <c r="AO89" s="651"/>
      <c r="AP89" s="651"/>
      <c r="AQ89" s="651"/>
      <c r="AR89" s="651"/>
      <c r="AS89" s="651"/>
      <c r="AT89" s="651"/>
      <c r="AU89" s="651"/>
      <c r="AV89" s="651"/>
      <c r="AW89" s="651"/>
      <c r="AX89" s="651"/>
      <c r="AY89" s="651"/>
      <c r="AZ89" s="651"/>
      <c r="BA89" s="651"/>
      <c r="BB89" s="651"/>
      <c r="BC89" s="651"/>
      <c r="BD89" s="651"/>
      <c r="BE89" s="651"/>
      <c r="BF89" s="651"/>
      <c r="BG89" s="651"/>
      <c r="BH89" s="651"/>
    </row>
    <row r="90" spans="1:60">
      <c r="A90" s="651"/>
      <c r="B90" s="651"/>
      <c r="C90" s="651"/>
      <c r="D90" s="651"/>
      <c r="E90" s="651"/>
      <c r="F90" s="651"/>
      <c r="G90" s="651"/>
      <c r="H90" s="651"/>
      <c r="I90" s="651"/>
      <c r="J90" s="651"/>
      <c r="K90" s="651"/>
      <c r="L90" s="651"/>
      <c r="M90" s="651"/>
      <c r="N90" s="651"/>
      <c r="O90" s="651"/>
      <c r="P90" s="651"/>
      <c r="Q90" s="651"/>
      <c r="R90" s="651"/>
      <c r="S90" s="651"/>
      <c r="T90" s="651"/>
      <c r="U90" s="651"/>
      <c r="V90" s="651"/>
      <c r="W90" s="651"/>
      <c r="X90" s="651"/>
      <c r="Y90" s="651"/>
      <c r="Z90" s="651"/>
      <c r="AA90" s="651"/>
      <c r="AB90" s="651"/>
      <c r="AC90" s="651"/>
      <c r="AD90" s="651"/>
      <c r="AE90" s="651"/>
      <c r="AF90" s="651"/>
      <c r="AG90" s="651"/>
      <c r="AH90" s="651"/>
      <c r="AI90" s="651"/>
      <c r="AJ90" s="651"/>
      <c r="AK90" s="651"/>
      <c r="AL90" s="651"/>
      <c r="AM90" s="651"/>
      <c r="AN90" s="651"/>
      <c r="AO90" s="651"/>
      <c r="AP90" s="651"/>
      <c r="AQ90" s="651"/>
      <c r="AR90" s="651"/>
      <c r="AS90" s="651"/>
      <c r="AT90" s="651"/>
      <c r="AU90" s="651"/>
      <c r="AV90" s="651"/>
      <c r="AW90" s="651"/>
      <c r="AX90" s="651"/>
      <c r="AY90" s="651"/>
      <c r="AZ90" s="651"/>
      <c r="BA90" s="651"/>
      <c r="BB90" s="651"/>
      <c r="BC90" s="651"/>
      <c r="BD90" s="651"/>
      <c r="BE90" s="651"/>
      <c r="BF90" s="651"/>
      <c r="BG90" s="651"/>
      <c r="BH90" s="651"/>
    </row>
    <row r="91" spans="1:60">
      <c r="A91" s="651"/>
      <c r="B91" s="651"/>
      <c r="C91" s="651"/>
      <c r="D91" s="651"/>
      <c r="E91" s="651"/>
      <c r="F91" s="651"/>
      <c r="G91" s="651"/>
      <c r="H91" s="651"/>
      <c r="I91" s="651"/>
      <c r="J91" s="651"/>
      <c r="K91" s="651"/>
      <c r="L91" s="651"/>
      <c r="M91" s="651"/>
      <c r="N91" s="651"/>
      <c r="O91" s="651"/>
      <c r="P91" s="651"/>
      <c r="Q91" s="651"/>
      <c r="R91" s="651"/>
      <c r="S91" s="651"/>
      <c r="T91" s="651"/>
      <c r="U91" s="651"/>
      <c r="V91" s="651"/>
      <c r="W91" s="651"/>
      <c r="X91" s="651"/>
      <c r="Y91" s="651"/>
      <c r="Z91" s="651"/>
      <c r="AA91" s="651"/>
      <c r="AB91" s="651"/>
      <c r="AC91" s="651"/>
      <c r="AD91" s="651"/>
      <c r="AE91" s="651"/>
      <c r="AF91" s="651"/>
      <c r="AG91" s="651"/>
      <c r="AH91" s="651"/>
      <c r="AI91" s="651"/>
      <c r="AJ91" s="651"/>
      <c r="AK91" s="651"/>
      <c r="AL91" s="651"/>
      <c r="AM91" s="651"/>
      <c r="AN91" s="651"/>
      <c r="AO91" s="651"/>
      <c r="AP91" s="651"/>
      <c r="AQ91" s="651"/>
      <c r="AR91" s="651"/>
      <c r="AS91" s="651"/>
      <c r="AT91" s="651"/>
      <c r="AU91" s="651"/>
      <c r="AV91" s="651"/>
      <c r="AW91" s="651"/>
      <c r="AX91" s="651"/>
      <c r="AY91" s="651"/>
      <c r="AZ91" s="651"/>
      <c r="BA91" s="651"/>
      <c r="BB91" s="651"/>
      <c r="BC91" s="651"/>
      <c r="BD91" s="651"/>
      <c r="BE91" s="651"/>
      <c r="BF91" s="651"/>
      <c r="BG91" s="651"/>
      <c r="BH91" s="651"/>
    </row>
    <row r="92" spans="1:60">
      <c r="A92" s="651"/>
      <c r="B92" s="651"/>
      <c r="C92" s="651"/>
      <c r="D92" s="651"/>
      <c r="E92" s="651"/>
      <c r="F92" s="651"/>
      <c r="G92" s="651"/>
      <c r="H92" s="651"/>
      <c r="I92" s="651"/>
      <c r="J92" s="651"/>
      <c r="K92" s="651"/>
      <c r="L92" s="651"/>
      <c r="M92" s="651"/>
      <c r="N92" s="651"/>
      <c r="O92" s="651"/>
      <c r="P92" s="651"/>
      <c r="Q92" s="651"/>
      <c r="R92" s="651"/>
      <c r="S92" s="651"/>
      <c r="T92" s="651"/>
      <c r="U92" s="651"/>
      <c r="V92" s="651"/>
      <c r="W92" s="651"/>
      <c r="X92" s="651"/>
      <c r="Y92" s="651"/>
      <c r="Z92" s="651"/>
      <c r="AA92" s="651"/>
      <c r="AB92" s="651"/>
      <c r="AC92" s="651"/>
      <c r="AD92" s="651"/>
      <c r="AE92" s="651"/>
      <c r="AF92" s="651"/>
      <c r="AG92" s="651"/>
      <c r="AH92" s="651"/>
      <c r="AI92" s="651"/>
      <c r="AJ92" s="651"/>
      <c r="AK92" s="651"/>
      <c r="AL92" s="651"/>
      <c r="AM92" s="651"/>
      <c r="AN92" s="651"/>
      <c r="AO92" s="651"/>
      <c r="AP92" s="651"/>
      <c r="AQ92" s="651"/>
      <c r="AR92" s="651"/>
      <c r="AS92" s="651"/>
      <c r="AT92" s="651"/>
      <c r="AU92" s="651"/>
      <c r="AV92" s="651"/>
      <c r="AW92" s="651"/>
      <c r="AX92" s="651"/>
      <c r="AY92" s="651"/>
      <c r="AZ92" s="651"/>
      <c r="BA92" s="651"/>
      <c r="BB92" s="651"/>
      <c r="BC92" s="651"/>
      <c r="BD92" s="651"/>
      <c r="BE92" s="651"/>
      <c r="BF92" s="651"/>
      <c r="BG92" s="651"/>
      <c r="BH92" s="651"/>
    </row>
    <row r="93" spans="1:60">
      <c r="A93" s="651"/>
      <c r="B93" s="651"/>
      <c r="C93" s="651"/>
      <c r="D93" s="651"/>
      <c r="E93" s="651"/>
      <c r="F93" s="651"/>
      <c r="G93" s="651"/>
      <c r="H93" s="651"/>
      <c r="I93" s="651"/>
      <c r="J93" s="651"/>
      <c r="K93" s="651"/>
      <c r="L93" s="651"/>
      <c r="M93" s="651"/>
      <c r="N93" s="651"/>
      <c r="O93" s="651"/>
      <c r="P93" s="651"/>
      <c r="Q93" s="651"/>
      <c r="R93" s="651"/>
      <c r="S93" s="651"/>
      <c r="T93" s="651"/>
      <c r="U93" s="651"/>
      <c r="V93" s="651"/>
      <c r="W93" s="651"/>
      <c r="X93" s="651"/>
      <c r="Y93" s="651"/>
      <c r="Z93" s="651"/>
      <c r="AA93" s="651"/>
      <c r="AB93" s="651"/>
      <c r="AC93" s="651"/>
      <c r="AD93" s="651"/>
      <c r="AE93" s="651"/>
      <c r="AF93" s="651"/>
      <c r="AG93" s="651"/>
      <c r="AH93" s="651"/>
      <c r="AI93" s="651"/>
      <c r="AJ93" s="651"/>
      <c r="AK93" s="651"/>
      <c r="AL93" s="651"/>
      <c r="AM93" s="651"/>
      <c r="AN93" s="651"/>
      <c r="AO93" s="651"/>
      <c r="AP93" s="651"/>
      <c r="AQ93" s="651"/>
      <c r="AR93" s="651"/>
      <c r="AS93" s="651"/>
      <c r="AT93" s="651"/>
      <c r="AU93" s="651"/>
      <c r="AV93" s="651"/>
      <c r="AW93" s="651"/>
      <c r="AX93" s="651"/>
      <c r="AY93" s="651"/>
      <c r="AZ93" s="651"/>
      <c r="BA93" s="651"/>
      <c r="BB93" s="651"/>
      <c r="BC93" s="651"/>
      <c r="BD93" s="651"/>
      <c r="BE93" s="651"/>
      <c r="BF93" s="651"/>
      <c r="BG93" s="651"/>
      <c r="BH93" s="651"/>
    </row>
    <row r="94" spans="1:60">
      <c r="A94" s="651"/>
      <c r="B94" s="651"/>
      <c r="C94" s="651"/>
      <c r="D94" s="651"/>
      <c r="E94" s="651"/>
      <c r="F94" s="651"/>
      <c r="G94" s="651"/>
      <c r="H94" s="651"/>
      <c r="I94" s="651"/>
      <c r="J94" s="651"/>
      <c r="K94" s="651"/>
      <c r="L94" s="651"/>
      <c r="M94" s="651"/>
      <c r="N94" s="651"/>
      <c r="O94" s="651"/>
      <c r="P94" s="651"/>
      <c r="Q94" s="651"/>
      <c r="R94" s="651"/>
      <c r="S94" s="651"/>
      <c r="T94" s="651"/>
      <c r="U94" s="651"/>
      <c r="V94" s="651"/>
      <c r="W94" s="651"/>
      <c r="X94" s="651"/>
      <c r="Y94" s="651"/>
      <c r="Z94" s="651"/>
      <c r="AA94" s="651"/>
      <c r="AB94" s="651"/>
      <c r="AC94" s="651"/>
      <c r="AD94" s="651"/>
      <c r="AE94" s="651"/>
      <c r="AF94" s="651"/>
      <c r="AG94" s="651"/>
      <c r="AH94" s="651"/>
      <c r="AI94" s="651"/>
      <c r="AJ94" s="651"/>
      <c r="AK94" s="651"/>
      <c r="AL94" s="651"/>
      <c r="AM94" s="651"/>
      <c r="AN94" s="651"/>
      <c r="AO94" s="651"/>
      <c r="AP94" s="651"/>
      <c r="AQ94" s="651"/>
      <c r="AR94" s="651"/>
      <c r="AS94" s="651"/>
      <c r="AT94" s="651"/>
      <c r="AU94" s="651"/>
      <c r="AV94" s="651"/>
      <c r="AW94" s="651"/>
      <c r="AX94" s="651"/>
      <c r="AY94" s="651"/>
      <c r="AZ94" s="651"/>
      <c r="BA94" s="651"/>
      <c r="BB94" s="651"/>
      <c r="BC94" s="651"/>
      <c r="BD94" s="651"/>
      <c r="BE94" s="651"/>
      <c r="BF94" s="651"/>
      <c r="BG94" s="651"/>
      <c r="BH94" s="651"/>
    </row>
    <row r="95" spans="1:60">
      <c r="A95" s="651"/>
      <c r="B95" s="651"/>
      <c r="C95" s="651"/>
      <c r="D95" s="651"/>
      <c r="E95" s="651"/>
      <c r="F95" s="651"/>
      <c r="G95" s="651"/>
      <c r="H95" s="651"/>
      <c r="I95" s="651"/>
      <c r="J95" s="651"/>
      <c r="K95" s="651"/>
      <c r="L95" s="651"/>
      <c r="M95" s="651"/>
      <c r="N95" s="651"/>
      <c r="O95" s="651"/>
      <c r="P95" s="651"/>
      <c r="Q95" s="651"/>
      <c r="R95" s="651"/>
      <c r="S95" s="651"/>
      <c r="T95" s="651"/>
      <c r="U95" s="651"/>
      <c r="V95" s="651"/>
      <c r="W95" s="651"/>
      <c r="X95" s="651"/>
      <c r="Y95" s="651"/>
      <c r="Z95" s="651"/>
      <c r="AA95" s="651"/>
      <c r="AB95" s="651"/>
      <c r="AC95" s="651"/>
      <c r="AD95" s="651"/>
      <c r="AE95" s="651"/>
      <c r="AF95" s="651"/>
      <c r="AG95" s="651"/>
      <c r="AH95" s="651"/>
      <c r="AI95" s="651"/>
      <c r="AJ95" s="651"/>
      <c r="AK95" s="651"/>
      <c r="AL95" s="651"/>
      <c r="AM95" s="651"/>
      <c r="AN95" s="651"/>
      <c r="AO95" s="651"/>
      <c r="AP95" s="651"/>
      <c r="AQ95" s="651"/>
      <c r="AR95" s="651"/>
      <c r="AS95" s="651"/>
      <c r="AT95" s="651"/>
      <c r="AU95" s="651"/>
      <c r="AV95" s="651"/>
      <c r="AW95" s="651"/>
      <c r="AX95" s="651"/>
      <c r="AY95" s="651"/>
      <c r="AZ95" s="651"/>
      <c r="BA95" s="651"/>
      <c r="BB95" s="651"/>
      <c r="BC95" s="651"/>
      <c r="BD95" s="651"/>
      <c r="BE95" s="651"/>
      <c r="BF95" s="651"/>
      <c r="BG95" s="651"/>
      <c r="BH95" s="651"/>
    </row>
    <row r="96" spans="1:60">
      <c r="A96" s="651"/>
      <c r="B96" s="651"/>
      <c r="C96" s="651"/>
      <c r="D96" s="651"/>
      <c r="E96" s="651"/>
      <c r="F96" s="651"/>
      <c r="G96" s="651"/>
      <c r="H96" s="651"/>
      <c r="I96" s="651"/>
      <c r="J96" s="651"/>
      <c r="K96" s="651"/>
      <c r="L96" s="651"/>
      <c r="M96" s="651"/>
      <c r="N96" s="651"/>
      <c r="O96" s="651"/>
      <c r="P96" s="651"/>
      <c r="Q96" s="651"/>
      <c r="R96" s="651"/>
      <c r="S96" s="651"/>
      <c r="T96" s="651"/>
      <c r="U96" s="651"/>
      <c r="V96" s="651"/>
      <c r="W96" s="651"/>
      <c r="X96" s="651"/>
      <c r="Y96" s="651"/>
      <c r="Z96" s="651"/>
      <c r="AA96" s="651"/>
      <c r="AB96" s="651"/>
      <c r="AC96" s="651"/>
      <c r="AD96" s="651"/>
      <c r="AE96" s="651"/>
      <c r="AF96" s="651"/>
      <c r="AG96" s="651"/>
      <c r="AH96" s="651"/>
      <c r="AI96" s="651"/>
      <c r="AJ96" s="651"/>
      <c r="AK96" s="651"/>
      <c r="AL96" s="651"/>
      <c r="AM96" s="651"/>
      <c r="AN96" s="651"/>
      <c r="AO96" s="651"/>
      <c r="AP96" s="651"/>
      <c r="AQ96" s="651"/>
      <c r="AR96" s="651"/>
      <c r="AS96" s="651"/>
      <c r="AT96" s="651"/>
      <c r="AU96" s="651"/>
      <c r="AV96" s="651"/>
      <c r="AW96" s="651"/>
      <c r="AX96" s="651"/>
      <c r="AY96" s="651"/>
      <c r="AZ96" s="651"/>
      <c r="BA96" s="651"/>
      <c r="BB96" s="651"/>
      <c r="BC96" s="651"/>
      <c r="BD96" s="651"/>
      <c r="BE96" s="651"/>
      <c r="BF96" s="651"/>
      <c r="BG96" s="651"/>
      <c r="BH96" s="651"/>
    </row>
    <row r="97" spans="1:60">
      <c r="A97" s="651"/>
      <c r="B97" s="651"/>
      <c r="C97" s="651"/>
      <c r="D97" s="651"/>
      <c r="E97" s="651"/>
      <c r="F97" s="651"/>
      <c r="G97" s="651"/>
      <c r="H97" s="651"/>
      <c r="I97" s="651"/>
      <c r="J97" s="651"/>
      <c r="K97" s="651"/>
      <c r="L97" s="651"/>
      <c r="M97" s="651"/>
      <c r="N97" s="651"/>
      <c r="O97" s="651"/>
      <c r="P97" s="651"/>
      <c r="Q97" s="651"/>
      <c r="R97" s="651"/>
      <c r="S97" s="651"/>
      <c r="T97" s="651"/>
      <c r="U97" s="651"/>
      <c r="V97" s="651"/>
      <c r="W97" s="651"/>
      <c r="X97" s="651"/>
      <c r="Y97" s="651"/>
      <c r="Z97" s="651"/>
      <c r="AA97" s="651"/>
      <c r="AB97" s="651"/>
      <c r="AC97" s="651"/>
      <c r="AD97" s="651"/>
      <c r="AE97" s="651"/>
      <c r="AF97" s="651"/>
      <c r="AG97" s="651"/>
      <c r="AH97" s="651"/>
      <c r="AI97" s="651"/>
      <c r="AJ97" s="651"/>
      <c r="AK97" s="651"/>
      <c r="AL97" s="651"/>
      <c r="AM97" s="651"/>
      <c r="AN97" s="651"/>
      <c r="AO97" s="651"/>
      <c r="AP97" s="651"/>
      <c r="AQ97" s="651"/>
      <c r="AR97" s="651"/>
      <c r="AS97" s="651"/>
      <c r="AT97" s="651"/>
      <c r="AU97" s="651"/>
      <c r="AV97" s="651"/>
      <c r="AW97" s="651"/>
      <c r="AX97" s="651"/>
      <c r="AY97" s="651"/>
      <c r="AZ97" s="651"/>
      <c r="BA97" s="651"/>
      <c r="BB97" s="651"/>
      <c r="BC97" s="651"/>
      <c r="BD97" s="651"/>
      <c r="BE97" s="651"/>
      <c r="BF97" s="651"/>
      <c r="BG97" s="651"/>
      <c r="BH97" s="651"/>
    </row>
    <row r="98" spans="1:60">
      <c r="A98" s="651"/>
      <c r="B98" s="651"/>
      <c r="C98" s="651"/>
      <c r="D98" s="651"/>
      <c r="E98" s="651"/>
      <c r="F98" s="651"/>
      <c r="G98" s="651"/>
      <c r="H98" s="651"/>
      <c r="I98" s="651"/>
      <c r="J98" s="651"/>
      <c r="K98" s="651"/>
      <c r="L98" s="651"/>
      <c r="M98" s="651"/>
      <c r="N98" s="651"/>
      <c r="O98" s="651"/>
      <c r="P98" s="651"/>
      <c r="Q98" s="651"/>
      <c r="R98" s="651"/>
      <c r="S98" s="651"/>
      <c r="T98" s="651"/>
      <c r="U98" s="651"/>
      <c r="V98" s="651"/>
      <c r="W98" s="651"/>
      <c r="X98" s="651"/>
      <c r="Y98" s="651"/>
      <c r="Z98" s="651"/>
      <c r="AA98" s="651"/>
      <c r="AB98" s="651"/>
      <c r="AC98" s="651"/>
      <c r="AD98" s="651"/>
      <c r="AE98" s="651"/>
      <c r="AF98" s="651"/>
      <c r="AG98" s="651"/>
      <c r="AH98" s="651"/>
      <c r="AI98" s="651"/>
      <c r="AJ98" s="651"/>
      <c r="AK98" s="651"/>
      <c r="AL98" s="651"/>
      <c r="AM98" s="651"/>
      <c r="AN98" s="651"/>
      <c r="AO98" s="651"/>
      <c r="AP98" s="651"/>
      <c r="AQ98" s="651"/>
      <c r="AR98" s="651"/>
      <c r="AS98" s="651"/>
      <c r="AT98" s="651"/>
      <c r="AU98" s="651"/>
      <c r="AV98" s="651"/>
      <c r="AW98" s="651"/>
      <c r="AX98" s="651"/>
      <c r="AY98" s="651"/>
      <c r="AZ98" s="651"/>
      <c r="BA98" s="651"/>
      <c r="BB98" s="651"/>
      <c r="BC98" s="651"/>
      <c r="BD98" s="651"/>
      <c r="BE98" s="651"/>
      <c r="BF98" s="651"/>
      <c r="BG98" s="651"/>
      <c r="BH98" s="651"/>
    </row>
    <row r="99" spans="1:60">
      <c r="A99" s="651"/>
      <c r="B99" s="651"/>
      <c r="C99" s="651"/>
      <c r="D99" s="651"/>
      <c r="E99" s="651"/>
      <c r="F99" s="651"/>
      <c r="G99" s="651"/>
      <c r="H99" s="651"/>
      <c r="I99" s="651"/>
      <c r="J99" s="651"/>
      <c r="K99" s="651"/>
      <c r="L99" s="651"/>
      <c r="M99" s="651"/>
      <c r="N99" s="651"/>
      <c r="O99" s="651"/>
      <c r="P99" s="651"/>
      <c r="Q99" s="651"/>
      <c r="R99" s="651"/>
      <c r="S99" s="651"/>
      <c r="T99" s="651"/>
      <c r="U99" s="651"/>
      <c r="V99" s="651"/>
      <c r="W99" s="651"/>
      <c r="X99" s="651"/>
      <c r="Y99" s="651"/>
      <c r="Z99" s="651"/>
      <c r="AA99" s="651"/>
      <c r="AB99" s="651"/>
      <c r="AC99" s="651"/>
      <c r="AD99" s="651"/>
      <c r="AE99" s="651"/>
      <c r="AF99" s="651"/>
      <c r="AG99" s="651"/>
      <c r="AH99" s="651"/>
      <c r="AI99" s="651"/>
      <c r="AJ99" s="651"/>
      <c r="AK99" s="651"/>
      <c r="AL99" s="651"/>
      <c r="AM99" s="651"/>
      <c r="AN99" s="651"/>
      <c r="AO99" s="651"/>
      <c r="AP99" s="651"/>
      <c r="AQ99" s="651"/>
      <c r="AR99" s="651"/>
      <c r="AS99" s="651"/>
      <c r="AT99" s="651"/>
      <c r="AU99" s="651"/>
      <c r="AV99" s="651"/>
      <c r="AW99" s="651"/>
      <c r="AX99" s="651"/>
      <c r="AY99" s="651"/>
      <c r="AZ99" s="651"/>
      <c r="BA99" s="651"/>
      <c r="BB99" s="651"/>
      <c r="BC99" s="651"/>
      <c r="BD99" s="651"/>
      <c r="BE99" s="651"/>
      <c r="BF99" s="651"/>
      <c r="BG99" s="651"/>
      <c r="BH99" s="651"/>
    </row>
    <row r="100" spans="1:60">
      <c r="A100" s="651"/>
      <c r="B100" s="651"/>
      <c r="C100" s="651"/>
      <c r="D100" s="651"/>
      <c r="E100" s="651"/>
      <c r="F100" s="651"/>
      <c r="G100" s="651"/>
      <c r="H100" s="651"/>
      <c r="I100" s="651"/>
      <c r="J100" s="651"/>
      <c r="K100" s="651"/>
      <c r="L100" s="651"/>
      <c r="M100" s="651"/>
      <c r="N100" s="651"/>
      <c r="O100" s="651"/>
      <c r="P100" s="651"/>
      <c r="Q100" s="651"/>
      <c r="R100" s="651"/>
      <c r="S100" s="651"/>
      <c r="T100" s="651"/>
      <c r="U100" s="651"/>
      <c r="V100" s="651"/>
      <c r="W100" s="651"/>
      <c r="X100" s="651"/>
      <c r="Y100" s="651"/>
      <c r="Z100" s="651"/>
      <c r="AA100" s="651"/>
      <c r="AB100" s="651"/>
      <c r="AC100" s="651"/>
      <c r="AD100" s="651"/>
      <c r="AE100" s="651"/>
      <c r="AF100" s="651"/>
      <c r="AG100" s="651"/>
      <c r="AH100" s="651"/>
      <c r="AI100" s="651"/>
      <c r="AJ100" s="651"/>
      <c r="AK100" s="651"/>
      <c r="AL100" s="651"/>
      <c r="AM100" s="651"/>
      <c r="AN100" s="651"/>
      <c r="AO100" s="651"/>
      <c r="AP100" s="651"/>
      <c r="AQ100" s="651"/>
      <c r="AR100" s="651"/>
      <c r="AS100" s="651"/>
      <c r="AT100" s="651"/>
      <c r="AU100" s="651"/>
      <c r="AV100" s="651"/>
      <c r="AW100" s="651"/>
      <c r="AX100" s="651"/>
      <c r="AY100" s="651"/>
      <c r="AZ100" s="651"/>
      <c r="BA100" s="651"/>
      <c r="BB100" s="651"/>
      <c r="BC100" s="651"/>
      <c r="BD100" s="651"/>
      <c r="BE100" s="651"/>
      <c r="BF100" s="651"/>
      <c r="BG100" s="651"/>
      <c r="BH100" s="651"/>
    </row>
    <row r="101" spans="1:60">
      <c r="A101" s="651"/>
      <c r="B101" s="651"/>
      <c r="C101" s="651"/>
      <c r="D101" s="651"/>
      <c r="E101" s="651"/>
      <c r="F101" s="651"/>
      <c r="G101" s="651"/>
      <c r="H101" s="651"/>
      <c r="I101" s="651"/>
      <c r="J101" s="651"/>
      <c r="K101" s="651"/>
      <c r="L101" s="651"/>
      <c r="M101" s="651"/>
      <c r="N101" s="651"/>
      <c r="O101" s="651"/>
      <c r="P101" s="651"/>
      <c r="Q101" s="651"/>
      <c r="R101" s="651"/>
      <c r="S101" s="651"/>
      <c r="T101" s="651"/>
      <c r="U101" s="651"/>
      <c r="V101" s="651"/>
      <c r="W101" s="651"/>
      <c r="X101" s="651"/>
      <c r="Y101" s="651"/>
      <c r="Z101" s="651"/>
      <c r="AA101" s="651"/>
      <c r="AB101" s="651"/>
      <c r="AC101" s="651"/>
      <c r="AD101" s="651"/>
      <c r="AE101" s="651"/>
      <c r="AF101" s="651"/>
      <c r="AG101" s="651"/>
      <c r="AH101" s="651"/>
      <c r="AI101" s="651"/>
      <c r="AJ101" s="651"/>
      <c r="AK101" s="651"/>
      <c r="AL101" s="651"/>
      <c r="AM101" s="651"/>
      <c r="AN101" s="651"/>
      <c r="AO101" s="651"/>
      <c r="AP101" s="651"/>
      <c r="AQ101" s="651"/>
      <c r="AR101" s="651"/>
      <c r="AS101" s="651"/>
      <c r="AT101" s="651"/>
      <c r="AU101" s="651"/>
      <c r="AV101" s="651"/>
      <c r="AW101" s="651"/>
      <c r="AX101" s="651"/>
      <c r="AY101" s="651"/>
      <c r="AZ101" s="651"/>
      <c r="BA101" s="651"/>
      <c r="BB101" s="651"/>
      <c r="BC101" s="651"/>
      <c r="BD101" s="651"/>
      <c r="BE101" s="651"/>
      <c r="BF101" s="651"/>
      <c r="BG101" s="651"/>
      <c r="BH101" s="651"/>
    </row>
    <row r="102" spans="1:60">
      <c r="A102" s="651"/>
      <c r="B102" s="651"/>
      <c r="C102" s="651"/>
      <c r="D102" s="651"/>
      <c r="E102" s="651"/>
      <c r="F102" s="651"/>
      <c r="G102" s="651"/>
      <c r="H102" s="651"/>
      <c r="I102" s="651"/>
      <c r="J102" s="651"/>
      <c r="K102" s="651"/>
      <c r="L102" s="651"/>
      <c r="M102" s="651"/>
      <c r="N102" s="651"/>
      <c r="O102" s="651"/>
      <c r="P102" s="651"/>
      <c r="Q102" s="651"/>
      <c r="R102" s="651"/>
      <c r="S102" s="651"/>
      <c r="T102" s="651"/>
      <c r="U102" s="651"/>
      <c r="V102" s="651"/>
      <c r="W102" s="651"/>
      <c r="X102" s="651"/>
      <c r="Y102" s="651"/>
      <c r="Z102" s="651"/>
      <c r="AA102" s="651"/>
      <c r="AB102" s="651"/>
      <c r="AC102" s="651"/>
      <c r="AD102" s="651"/>
      <c r="AE102" s="651"/>
      <c r="AF102" s="651"/>
      <c r="AG102" s="651"/>
      <c r="AH102" s="651"/>
      <c r="AI102" s="651"/>
      <c r="AJ102" s="651"/>
      <c r="AK102" s="651"/>
      <c r="AL102" s="651"/>
      <c r="AM102" s="651"/>
      <c r="AN102" s="651"/>
      <c r="AO102" s="651"/>
      <c r="AP102" s="651"/>
      <c r="AQ102" s="651"/>
      <c r="AR102" s="651"/>
      <c r="AS102" s="651"/>
      <c r="AT102" s="651"/>
      <c r="AU102" s="651"/>
      <c r="AV102" s="651"/>
      <c r="AW102" s="651"/>
      <c r="AX102" s="651"/>
      <c r="AY102" s="651"/>
      <c r="AZ102" s="651"/>
      <c r="BA102" s="651"/>
      <c r="BB102" s="651"/>
      <c r="BC102" s="651"/>
      <c r="BD102" s="651"/>
      <c r="BE102" s="651"/>
      <c r="BF102" s="651"/>
      <c r="BG102" s="651"/>
      <c r="BH102" s="651"/>
    </row>
    <row r="103" spans="1:60">
      <c r="A103" s="651"/>
      <c r="B103" s="651"/>
      <c r="C103" s="651"/>
      <c r="D103" s="651"/>
      <c r="E103" s="651"/>
      <c r="F103" s="651"/>
      <c r="G103" s="651"/>
      <c r="H103" s="651"/>
      <c r="I103" s="651"/>
      <c r="J103" s="651"/>
      <c r="K103" s="651"/>
      <c r="L103" s="651"/>
      <c r="M103" s="651"/>
      <c r="N103" s="651"/>
      <c r="O103" s="651"/>
      <c r="P103" s="651"/>
      <c r="Q103" s="651"/>
      <c r="R103" s="651"/>
      <c r="S103" s="651"/>
      <c r="T103" s="651"/>
      <c r="U103" s="651"/>
      <c r="V103" s="651"/>
      <c r="W103" s="651"/>
      <c r="X103" s="651"/>
      <c r="Y103" s="651"/>
      <c r="Z103" s="651"/>
      <c r="AA103" s="651"/>
      <c r="AB103" s="651"/>
      <c r="AC103" s="651"/>
      <c r="AD103" s="651"/>
      <c r="AE103" s="651"/>
      <c r="AF103" s="651"/>
      <c r="AG103" s="651"/>
      <c r="AH103" s="651"/>
      <c r="AI103" s="651"/>
      <c r="AJ103" s="651"/>
      <c r="AK103" s="651"/>
      <c r="AL103" s="651"/>
      <c r="AM103" s="651"/>
      <c r="AN103" s="651"/>
      <c r="AO103" s="651"/>
      <c r="AP103" s="651"/>
      <c r="AQ103" s="651"/>
      <c r="AR103" s="651"/>
      <c r="AS103" s="651"/>
      <c r="AT103" s="651"/>
      <c r="AU103" s="651"/>
      <c r="AV103" s="651"/>
      <c r="AW103" s="651"/>
      <c r="AX103" s="651"/>
      <c r="AY103" s="651"/>
      <c r="AZ103" s="651"/>
      <c r="BA103" s="651"/>
      <c r="BB103" s="651"/>
      <c r="BC103" s="651"/>
      <c r="BD103" s="651"/>
      <c r="BE103" s="651"/>
      <c r="BF103" s="651"/>
      <c r="BG103" s="651"/>
      <c r="BH103" s="651"/>
    </row>
    <row r="104" spans="1:60">
      <c r="A104" s="651"/>
      <c r="B104" s="651"/>
      <c r="C104" s="651"/>
      <c r="D104" s="651"/>
      <c r="E104" s="651"/>
      <c r="F104" s="651"/>
      <c r="G104" s="651"/>
      <c r="H104" s="651"/>
      <c r="I104" s="651"/>
      <c r="J104" s="651"/>
      <c r="K104" s="651"/>
      <c r="L104" s="651"/>
      <c r="M104" s="651"/>
      <c r="N104" s="651"/>
      <c r="O104" s="651"/>
      <c r="P104" s="651"/>
      <c r="Q104" s="651"/>
      <c r="R104" s="651"/>
      <c r="S104" s="651"/>
      <c r="T104" s="651"/>
      <c r="U104" s="651"/>
      <c r="V104" s="651"/>
      <c r="W104" s="651"/>
      <c r="X104" s="651"/>
      <c r="Y104" s="651"/>
      <c r="Z104" s="651"/>
      <c r="AA104" s="651"/>
      <c r="AB104" s="651"/>
      <c r="AC104" s="651"/>
      <c r="AD104" s="651"/>
      <c r="AE104" s="651"/>
      <c r="AF104" s="651"/>
      <c r="AG104" s="651"/>
      <c r="AH104" s="651"/>
      <c r="AI104" s="651"/>
      <c r="AJ104" s="651"/>
      <c r="AK104" s="651"/>
      <c r="AL104" s="651"/>
      <c r="AM104" s="651"/>
      <c r="AN104" s="651"/>
      <c r="AO104" s="651"/>
      <c r="AP104" s="651"/>
      <c r="AQ104" s="651"/>
      <c r="AR104" s="651"/>
      <c r="AS104" s="651"/>
      <c r="AT104" s="651"/>
      <c r="AU104" s="651"/>
      <c r="AV104" s="651"/>
      <c r="AW104" s="651"/>
      <c r="AX104" s="651"/>
      <c r="AY104" s="651"/>
      <c r="AZ104" s="651"/>
      <c r="BA104" s="651"/>
      <c r="BB104" s="651"/>
      <c r="BC104" s="651"/>
      <c r="BD104" s="651"/>
      <c r="BE104" s="651"/>
      <c r="BF104" s="651"/>
      <c r="BG104" s="651"/>
      <c r="BH104" s="651"/>
    </row>
    <row r="105" spans="1:60">
      <c r="A105" s="651"/>
      <c r="B105" s="651"/>
      <c r="C105" s="651"/>
      <c r="D105" s="651"/>
      <c r="E105" s="651"/>
      <c r="F105" s="651"/>
      <c r="G105" s="651"/>
      <c r="H105" s="651"/>
      <c r="I105" s="651"/>
      <c r="J105" s="651"/>
      <c r="K105" s="651"/>
      <c r="L105" s="651"/>
      <c r="M105" s="651"/>
      <c r="N105" s="651"/>
      <c r="O105" s="651"/>
      <c r="P105" s="651"/>
      <c r="Q105" s="651"/>
      <c r="R105" s="651"/>
      <c r="S105" s="651"/>
      <c r="T105" s="651"/>
      <c r="U105" s="651"/>
      <c r="V105" s="651"/>
      <c r="W105" s="651"/>
      <c r="X105" s="651"/>
      <c r="Y105" s="651"/>
      <c r="Z105" s="651"/>
      <c r="AA105" s="651"/>
      <c r="AB105" s="651"/>
      <c r="AC105" s="651"/>
      <c r="AD105" s="651"/>
      <c r="AE105" s="651"/>
      <c r="AF105" s="651"/>
      <c r="AG105" s="651"/>
      <c r="AH105" s="651"/>
      <c r="AI105" s="651"/>
      <c r="AJ105" s="651"/>
      <c r="AK105" s="651"/>
      <c r="AL105" s="651"/>
      <c r="AM105" s="651"/>
      <c r="AN105" s="651"/>
      <c r="AO105" s="651"/>
      <c r="AP105" s="651"/>
      <c r="AQ105" s="651"/>
      <c r="AR105" s="651"/>
      <c r="AS105" s="651"/>
      <c r="AT105" s="651"/>
      <c r="AU105" s="651"/>
      <c r="AV105" s="651"/>
      <c r="AW105" s="651"/>
      <c r="AX105" s="651"/>
      <c r="AY105" s="651"/>
      <c r="AZ105" s="651"/>
      <c r="BA105" s="651"/>
      <c r="BB105" s="651"/>
      <c r="BC105" s="651"/>
      <c r="BD105" s="651"/>
      <c r="BE105" s="651"/>
      <c r="BF105" s="651"/>
      <c r="BG105" s="651"/>
      <c r="BH105" s="651"/>
    </row>
    <row r="106" spans="1:60">
      <c r="A106" s="651"/>
      <c r="B106" s="651"/>
      <c r="C106" s="651"/>
      <c r="D106" s="651"/>
      <c r="E106" s="651"/>
      <c r="F106" s="651"/>
      <c r="G106" s="651"/>
      <c r="H106" s="651"/>
      <c r="I106" s="651"/>
      <c r="J106" s="651"/>
      <c r="K106" s="651"/>
      <c r="L106" s="651"/>
      <c r="M106" s="651"/>
      <c r="N106" s="651"/>
      <c r="O106" s="651"/>
      <c r="P106" s="651"/>
      <c r="Q106" s="651"/>
      <c r="R106" s="651"/>
      <c r="S106" s="651"/>
      <c r="T106" s="651"/>
      <c r="U106" s="651"/>
      <c r="V106" s="651"/>
      <c r="W106" s="651"/>
      <c r="X106" s="651"/>
      <c r="Y106" s="651"/>
      <c r="Z106" s="651"/>
      <c r="AA106" s="651"/>
      <c r="AB106" s="651"/>
      <c r="AC106" s="651"/>
      <c r="AD106" s="651"/>
      <c r="AE106" s="651"/>
      <c r="AF106" s="651"/>
      <c r="AG106" s="651"/>
      <c r="AH106" s="651"/>
      <c r="AI106" s="651"/>
      <c r="AJ106" s="651"/>
      <c r="AK106" s="651"/>
      <c r="AL106" s="651"/>
      <c r="AM106" s="651"/>
      <c r="AN106" s="651"/>
      <c r="AO106" s="651"/>
      <c r="AP106" s="651"/>
      <c r="AQ106" s="651"/>
      <c r="AR106" s="651"/>
      <c r="AS106" s="651"/>
      <c r="AT106" s="651"/>
      <c r="AU106" s="651"/>
      <c r="AV106" s="651"/>
      <c r="AW106" s="651"/>
      <c r="AX106" s="651"/>
      <c r="AY106" s="651"/>
      <c r="AZ106" s="651"/>
      <c r="BA106" s="651"/>
      <c r="BB106" s="651"/>
      <c r="BC106" s="651"/>
      <c r="BD106" s="651"/>
      <c r="BE106" s="651"/>
      <c r="BF106" s="651"/>
      <c r="BG106" s="651"/>
      <c r="BH106" s="651"/>
    </row>
    <row r="107" spans="1:60">
      <c r="A107" s="651"/>
      <c r="B107" s="651"/>
      <c r="C107" s="651"/>
      <c r="D107" s="651"/>
      <c r="E107" s="651"/>
      <c r="F107" s="651"/>
      <c r="G107" s="651"/>
      <c r="H107" s="651"/>
      <c r="I107" s="651"/>
      <c r="J107" s="651"/>
      <c r="K107" s="651"/>
      <c r="L107" s="651"/>
      <c r="M107" s="651"/>
      <c r="N107" s="651"/>
      <c r="O107" s="651"/>
      <c r="P107" s="651"/>
      <c r="Q107" s="651"/>
      <c r="R107" s="651"/>
      <c r="S107" s="651"/>
      <c r="T107" s="651"/>
      <c r="U107" s="651"/>
      <c r="V107" s="651"/>
      <c r="W107" s="651"/>
      <c r="X107" s="651"/>
      <c r="Y107" s="651"/>
      <c r="Z107" s="651"/>
      <c r="AA107" s="651"/>
      <c r="AB107" s="651"/>
      <c r="AC107" s="651"/>
      <c r="AD107" s="651"/>
      <c r="AE107" s="651"/>
      <c r="AF107" s="651"/>
      <c r="AG107" s="651"/>
      <c r="AH107" s="651"/>
      <c r="AI107" s="651"/>
      <c r="AJ107" s="651"/>
      <c r="AK107" s="651"/>
      <c r="AL107" s="651"/>
      <c r="AM107" s="651"/>
      <c r="AN107" s="651"/>
      <c r="AO107" s="651"/>
      <c r="AP107" s="651"/>
      <c r="AQ107" s="651"/>
      <c r="AR107" s="651"/>
      <c r="AS107" s="651"/>
      <c r="AT107" s="651"/>
      <c r="AU107" s="651"/>
      <c r="AV107" s="651"/>
      <c r="AW107" s="651"/>
      <c r="AX107" s="651"/>
      <c r="AY107" s="651"/>
      <c r="AZ107" s="651"/>
      <c r="BA107" s="651"/>
      <c r="BB107" s="651"/>
      <c r="BC107" s="651"/>
      <c r="BD107" s="651"/>
      <c r="BE107" s="651"/>
      <c r="BF107" s="651"/>
      <c r="BG107" s="651"/>
      <c r="BH107" s="651"/>
    </row>
    <row r="108" spans="1:60">
      <c r="A108" s="651"/>
      <c r="B108" s="651"/>
      <c r="C108" s="651"/>
      <c r="D108" s="651"/>
      <c r="E108" s="651"/>
      <c r="F108" s="651"/>
      <c r="G108" s="651"/>
      <c r="H108" s="651"/>
      <c r="I108" s="651"/>
      <c r="J108" s="651"/>
      <c r="K108" s="651"/>
      <c r="L108" s="651"/>
      <c r="M108" s="651"/>
      <c r="N108" s="651"/>
      <c r="O108" s="651"/>
      <c r="P108" s="651"/>
      <c r="Q108" s="651"/>
      <c r="R108" s="651"/>
      <c r="S108" s="651"/>
      <c r="T108" s="651"/>
      <c r="U108" s="651"/>
      <c r="V108" s="651"/>
      <c r="W108" s="651"/>
      <c r="X108" s="651"/>
      <c r="Y108" s="651"/>
      <c r="Z108" s="651"/>
      <c r="AA108" s="651"/>
      <c r="AB108" s="651"/>
      <c r="AC108" s="651"/>
      <c r="AD108" s="651"/>
      <c r="AE108" s="651"/>
      <c r="AF108" s="651"/>
      <c r="AG108" s="651"/>
      <c r="AH108" s="651"/>
      <c r="AI108" s="651"/>
      <c r="AJ108" s="651"/>
      <c r="AK108" s="651"/>
      <c r="AL108" s="651"/>
      <c r="AM108" s="651"/>
      <c r="AN108" s="651"/>
      <c r="AO108" s="651"/>
      <c r="AP108" s="651"/>
      <c r="AQ108" s="651"/>
      <c r="AR108" s="651"/>
      <c r="AS108" s="651"/>
      <c r="AT108" s="651"/>
      <c r="AU108" s="651"/>
      <c r="AV108" s="651"/>
      <c r="AW108" s="651"/>
      <c r="AX108" s="651"/>
      <c r="AY108" s="651"/>
      <c r="AZ108" s="651"/>
      <c r="BA108" s="651"/>
      <c r="BB108" s="651"/>
      <c r="BC108" s="651"/>
      <c r="BD108" s="651"/>
      <c r="BE108" s="651"/>
      <c r="BF108" s="651"/>
      <c r="BG108" s="651"/>
      <c r="BH108" s="651"/>
    </row>
    <row r="109" spans="1:60">
      <c r="A109" s="651"/>
      <c r="B109" s="651"/>
      <c r="C109" s="651"/>
      <c r="D109" s="651"/>
      <c r="E109" s="651"/>
      <c r="F109" s="651"/>
      <c r="G109" s="651"/>
      <c r="H109" s="651"/>
      <c r="I109" s="651"/>
      <c r="J109" s="651"/>
      <c r="K109" s="651"/>
      <c r="L109" s="651"/>
      <c r="M109" s="651"/>
      <c r="N109" s="651"/>
      <c r="O109" s="651"/>
      <c r="P109" s="651"/>
      <c r="Q109" s="651"/>
      <c r="R109" s="651"/>
      <c r="S109" s="651"/>
      <c r="T109" s="651"/>
      <c r="U109" s="651"/>
      <c r="V109" s="651"/>
      <c r="W109" s="651"/>
      <c r="X109" s="651"/>
      <c r="Y109" s="651"/>
      <c r="Z109" s="651"/>
      <c r="AA109" s="651"/>
      <c r="AB109" s="651"/>
      <c r="AC109" s="651"/>
      <c r="AD109" s="651"/>
      <c r="AE109" s="651"/>
      <c r="AF109" s="651"/>
      <c r="AG109" s="651"/>
      <c r="AH109" s="651"/>
      <c r="AI109" s="651"/>
      <c r="AJ109" s="651"/>
      <c r="AK109" s="651"/>
      <c r="AL109" s="651"/>
      <c r="AM109" s="651"/>
      <c r="AN109" s="651"/>
      <c r="AO109" s="651"/>
      <c r="AP109" s="651"/>
      <c r="AQ109" s="651"/>
      <c r="AR109" s="651"/>
      <c r="AS109" s="651"/>
      <c r="AT109" s="651"/>
      <c r="AU109" s="651"/>
      <c r="AV109" s="651"/>
      <c r="AW109" s="651"/>
      <c r="AX109" s="651"/>
      <c r="AY109" s="651"/>
      <c r="AZ109" s="651"/>
      <c r="BA109" s="651"/>
      <c r="BB109" s="651"/>
      <c r="BC109" s="651"/>
      <c r="BD109" s="651"/>
      <c r="BE109" s="651"/>
      <c r="BF109" s="651"/>
      <c r="BG109" s="651"/>
      <c r="BH109" s="651"/>
    </row>
    <row r="110" spans="1:60">
      <c r="A110" s="651"/>
      <c r="B110" s="651"/>
      <c r="C110" s="651"/>
      <c r="D110" s="651"/>
      <c r="E110" s="651"/>
      <c r="F110" s="651"/>
      <c r="G110" s="651"/>
      <c r="H110" s="651"/>
      <c r="I110" s="651"/>
      <c r="J110" s="651"/>
      <c r="K110" s="651"/>
      <c r="L110" s="651"/>
      <c r="M110" s="651"/>
      <c r="N110" s="651"/>
      <c r="O110" s="651"/>
      <c r="P110" s="651"/>
      <c r="Q110" s="651"/>
      <c r="R110" s="651"/>
      <c r="S110" s="651"/>
      <c r="T110" s="651"/>
      <c r="U110" s="651"/>
      <c r="V110" s="651"/>
      <c r="W110" s="651"/>
      <c r="X110" s="651"/>
      <c r="Y110" s="651"/>
      <c r="Z110" s="651"/>
      <c r="AA110" s="651"/>
      <c r="AB110" s="651"/>
      <c r="AC110" s="651"/>
      <c r="AD110" s="651"/>
      <c r="AE110" s="651"/>
      <c r="AF110" s="651"/>
      <c r="AG110" s="651"/>
      <c r="AH110" s="651"/>
      <c r="AI110" s="651"/>
      <c r="AJ110" s="651"/>
      <c r="AK110" s="651"/>
      <c r="AL110" s="651"/>
      <c r="AM110" s="651"/>
      <c r="AN110" s="651"/>
      <c r="AO110" s="651"/>
      <c r="AP110" s="651"/>
      <c r="AQ110" s="651"/>
      <c r="AR110" s="651"/>
      <c r="AS110" s="651"/>
      <c r="AT110" s="651"/>
      <c r="AU110" s="651"/>
      <c r="AV110" s="651"/>
      <c r="AW110" s="651"/>
      <c r="AX110" s="651"/>
      <c r="AY110" s="651"/>
      <c r="AZ110" s="651"/>
      <c r="BA110" s="651"/>
      <c r="BB110" s="651"/>
      <c r="BC110" s="651"/>
      <c r="BD110" s="651"/>
      <c r="BE110" s="651"/>
      <c r="BF110" s="651"/>
      <c r="BG110" s="651"/>
      <c r="BH110" s="651"/>
    </row>
    <row r="111" spans="1:60">
      <c r="A111" s="651"/>
      <c r="B111" s="651"/>
      <c r="C111" s="651"/>
      <c r="D111" s="651"/>
      <c r="E111" s="651"/>
      <c r="F111" s="651"/>
      <c r="G111" s="651"/>
      <c r="H111" s="651"/>
      <c r="I111" s="651"/>
      <c r="J111" s="651"/>
      <c r="K111" s="651"/>
      <c r="L111" s="651"/>
      <c r="M111" s="651"/>
      <c r="N111" s="651"/>
      <c r="O111" s="651"/>
      <c r="P111" s="651"/>
      <c r="Q111" s="651"/>
      <c r="R111" s="651"/>
      <c r="S111" s="651"/>
      <c r="T111" s="651"/>
      <c r="U111" s="651"/>
      <c r="V111" s="651"/>
      <c r="W111" s="651"/>
      <c r="X111" s="651"/>
      <c r="Y111" s="651"/>
      <c r="Z111" s="651"/>
      <c r="AA111" s="651"/>
      <c r="AB111" s="651"/>
      <c r="AC111" s="651"/>
      <c r="AD111" s="651"/>
      <c r="AE111" s="651"/>
      <c r="AF111" s="651"/>
      <c r="AG111" s="651"/>
      <c r="AH111" s="651"/>
      <c r="AI111" s="651"/>
      <c r="AJ111" s="651"/>
      <c r="AK111" s="651"/>
      <c r="AL111" s="651"/>
      <c r="AM111" s="651"/>
      <c r="AN111" s="651"/>
      <c r="AO111" s="651"/>
      <c r="AP111" s="651"/>
      <c r="AQ111" s="651"/>
      <c r="AR111" s="651"/>
      <c r="AS111" s="651"/>
      <c r="AT111" s="651"/>
      <c r="AU111" s="651"/>
      <c r="AV111" s="651"/>
      <c r="AW111" s="651"/>
      <c r="AX111" s="651"/>
      <c r="AY111" s="651"/>
      <c r="AZ111" s="651"/>
      <c r="BA111" s="651"/>
      <c r="BB111" s="651"/>
      <c r="BC111" s="651"/>
      <c r="BD111" s="651"/>
      <c r="BE111" s="651"/>
      <c r="BF111" s="651"/>
      <c r="BG111" s="651"/>
      <c r="BH111" s="651"/>
    </row>
    <row r="112" spans="1:60">
      <c r="A112" s="651"/>
      <c r="B112" s="651"/>
      <c r="C112" s="651"/>
      <c r="D112" s="651"/>
      <c r="E112" s="651"/>
      <c r="F112" s="651"/>
      <c r="G112" s="651"/>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1"/>
      <c r="AL112" s="651"/>
      <c r="AM112" s="651"/>
      <c r="AN112" s="651"/>
      <c r="AO112" s="651"/>
      <c r="AP112" s="651"/>
      <c r="AQ112" s="651"/>
      <c r="AR112" s="651"/>
      <c r="AS112" s="651"/>
      <c r="AT112" s="651"/>
      <c r="AU112" s="651"/>
      <c r="AV112" s="651"/>
      <c r="AW112" s="651"/>
      <c r="AX112" s="651"/>
      <c r="AY112" s="651"/>
      <c r="AZ112" s="651"/>
      <c r="BA112" s="651"/>
      <c r="BB112" s="651"/>
      <c r="BC112" s="651"/>
      <c r="BD112" s="651"/>
      <c r="BE112" s="651"/>
      <c r="BF112" s="651"/>
      <c r="BG112" s="651"/>
      <c r="BH112" s="651"/>
    </row>
    <row r="113" spans="1:60">
      <c r="A113" s="651"/>
      <c r="B113" s="651"/>
      <c r="C113" s="651"/>
      <c r="D113" s="651"/>
      <c r="E113" s="651"/>
      <c r="F113" s="651"/>
      <c r="G113" s="651"/>
      <c r="H113" s="651"/>
      <c r="I113" s="651"/>
      <c r="J113" s="651"/>
      <c r="K113" s="651"/>
      <c r="L113" s="651"/>
      <c r="M113" s="651"/>
      <c r="N113" s="651"/>
      <c r="O113" s="651"/>
      <c r="P113" s="651"/>
      <c r="Q113" s="651"/>
      <c r="R113" s="651"/>
      <c r="S113" s="651"/>
      <c r="T113" s="651"/>
      <c r="U113" s="651"/>
      <c r="V113" s="651"/>
      <c r="W113" s="651"/>
      <c r="X113" s="651"/>
      <c r="Y113" s="651"/>
      <c r="Z113" s="651"/>
      <c r="AA113" s="651"/>
      <c r="AB113" s="651"/>
      <c r="AC113" s="651"/>
      <c r="AD113" s="651"/>
      <c r="AE113" s="651"/>
      <c r="AF113" s="651"/>
      <c r="AG113" s="651"/>
      <c r="AH113" s="651"/>
      <c r="AI113" s="651"/>
      <c r="AJ113" s="651"/>
      <c r="AK113" s="651"/>
      <c r="AL113" s="651"/>
      <c r="AM113" s="651"/>
      <c r="AN113" s="651"/>
      <c r="AO113" s="651"/>
      <c r="AP113" s="651"/>
      <c r="AQ113" s="651"/>
      <c r="AR113" s="651"/>
      <c r="AS113" s="651"/>
      <c r="AT113" s="651"/>
      <c r="AU113" s="651"/>
      <c r="AV113" s="651"/>
      <c r="AW113" s="651"/>
      <c r="AX113" s="651"/>
      <c r="AY113" s="651"/>
      <c r="AZ113" s="651"/>
      <c r="BA113" s="651"/>
      <c r="BB113" s="651"/>
      <c r="BC113" s="651"/>
      <c r="BD113" s="651"/>
      <c r="BE113" s="651"/>
      <c r="BF113" s="651"/>
      <c r="BG113" s="651"/>
      <c r="BH113" s="651"/>
    </row>
    <row r="114" spans="1:60">
      <c r="A114" s="651"/>
      <c r="B114" s="651"/>
      <c r="C114" s="651"/>
      <c r="D114" s="651"/>
      <c r="E114" s="651"/>
      <c r="F114" s="651"/>
      <c r="G114" s="651"/>
      <c r="H114" s="651"/>
      <c r="I114" s="651"/>
      <c r="J114" s="651"/>
      <c r="K114" s="651"/>
      <c r="L114" s="651"/>
      <c r="M114" s="651"/>
      <c r="N114" s="651"/>
      <c r="O114" s="651"/>
      <c r="P114" s="651"/>
      <c r="Q114" s="651"/>
      <c r="R114" s="651"/>
      <c r="S114" s="651"/>
      <c r="T114" s="651"/>
      <c r="U114" s="651"/>
      <c r="V114" s="651"/>
      <c r="W114" s="651"/>
      <c r="X114" s="651"/>
      <c r="Y114" s="651"/>
      <c r="Z114" s="651"/>
      <c r="AA114" s="651"/>
      <c r="AB114" s="651"/>
      <c r="AC114" s="651"/>
      <c r="AD114" s="651"/>
      <c r="AE114" s="651"/>
      <c r="AF114" s="651"/>
      <c r="AG114" s="651"/>
      <c r="AH114" s="651"/>
      <c r="AI114" s="651"/>
      <c r="AJ114" s="651"/>
      <c r="AK114" s="651"/>
      <c r="AL114" s="651"/>
      <c r="AM114" s="651"/>
      <c r="AN114" s="651"/>
      <c r="AO114" s="651"/>
      <c r="AP114" s="651"/>
      <c r="AQ114" s="651"/>
      <c r="AR114" s="651"/>
      <c r="AS114" s="651"/>
      <c r="AT114" s="651"/>
      <c r="AU114" s="651"/>
      <c r="AV114" s="651"/>
      <c r="AW114" s="651"/>
      <c r="AX114" s="651"/>
      <c r="AY114" s="651"/>
      <c r="AZ114" s="651"/>
      <c r="BA114" s="651"/>
      <c r="BB114" s="651"/>
      <c r="BC114" s="651"/>
      <c r="BD114" s="651"/>
      <c r="BE114" s="651"/>
      <c r="BF114" s="651"/>
      <c r="BG114" s="651"/>
      <c r="BH114" s="651"/>
    </row>
    <row r="115" spans="1:60">
      <c r="A115" s="651"/>
      <c r="B115" s="651"/>
      <c r="C115" s="651"/>
      <c r="D115" s="651"/>
      <c r="E115" s="651"/>
      <c r="F115" s="651"/>
      <c r="G115" s="651"/>
      <c r="H115" s="651"/>
      <c r="I115" s="651"/>
      <c r="J115" s="651"/>
      <c r="K115" s="651"/>
      <c r="L115" s="651"/>
      <c r="M115" s="651"/>
      <c r="N115" s="651"/>
      <c r="O115" s="651"/>
      <c r="P115" s="651"/>
      <c r="Q115" s="651"/>
      <c r="R115" s="651"/>
      <c r="S115" s="651"/>
      <c r="T115" s="651"/>
      <c r="U115" s="651"/>
      <c r="V115" s="651"/>
      <c r="W115" s="651"/>
      <c r="X115" s="651"/>
      <c r="Y115" s="651"/>
      <c r="Z115" s="651"/>
      <c r="AA115" s="651"/>
      <c r="AB115" s="651"/>
      <c r="AC115" s="651"/>
      <c r="AD115" s="651"/>
      <c r="AE115" s="651"/>
      <c r="AF115" s="651"/>
      <c r="AG115" s="651"/>
      <c r="AH115" s="651"/>
      <c r="AI115" s="651"/>
      <c r="AJ115" s="651"/>
      <c r="AK115" s="651"/>
      <c r="AL115" s="651"/>
      <c r="AM115" s="651"/>
      <c r="AN115" s="651"/>
      <c r="AO115" s="651"/>
      <c r="AP115" s="651"/>
      <c r="AQ115" s="651"/>
      <c r="AR115" s="651"/>
      <c r="AS115" s="651"/>
      <c r="AT115" s="651"/>
      <c r="AU115" s="651"/>
      <c r="AV115" s="651"/>
      <c r="AW115" s="651"/>
      <c r="AX115" s="651"/>
      <c r="AY115" s="651"/>
      <c r="AZ115" s="651"/>
      <c r="BA115" s="651"/>
      <c r="BB115" s="651"/>
      <c r="BC115" s="651"/>
      <c r="BD115" s="651"/>
      <c r="BE115" s="651"/>
      <c r="BF115" s="651"/>
      <c r="BG115" s="651"/>
      <c r="BH115" s="651"/>
    </row>
    <row r="116" spans="1:60">
      <c r="A116" s="651"/>
      <c r="B116" s="651"/>
      <c r="C116" s="651"/>
      <c r="D116" s="651"/>
      <c r="E116" s="651"/>
      <c r="F116" s="651"/>
      <c r="G116" s="651"/>
      <c r="H116" s="651"/>
      <c r="I116" s="651"/>
      <c r="J116" s="651"/>
      <c r="K116" s="651"/>
      <c r="L116" s="651"/>
      <c r="M116" s="651"/>
      <c r="N116" s="651"/>
      <c r="O116" s="651"/>
      <c r="P116" s="651"/>
      <c r="Q116" s="651"/>
      <c r="R116" s="651"/>
      <c r="S116" s="651"/>
      <c r="T116" s="651"/>
      <c r="U116" s="651"/>
      <c r="V116" s="651"/>
      <c r="W116" s="651"/>
      <c r="X116" s="651"/>
      <c r="Y116" s="651"/>
      <c r="Z116" s="651"/>
      <c r="AA116" s="651"/>
      <c r="AB116" s="651"/>
      <c r="AC116" s="651"/>
      <c r="AD116" s="651"/>
      <c r="AE116" s="651"/>
      <c r="AF116" s="651"/>
      <c r="AG116" s="651"/>
      <c r="AH116" s="651"/>
      <c r="AI116" s="651"/>
      <c r="AJ116" s="651"/>
      <c r="AK116" s="651"/>
      <c r="AL116" s="651"/>
      <c r="AM116" s="651"/>
      <c r="AN116" s="651"/>
      <c r="AO116" s="651"/>
      <c r="AP116" s="651"/>
      <c r="AQ116" s="651"/>
      <c r="AR116" s="651"/>
      <c r="AS116" s="651"/>
      <c r="AT116" s="651"/>
      <c r="AU116" s="651"/>
      <c r="AV116" s="651"/>
      <c r="AW116" s="651"/>
      <c r="AX116" s="651"/>
      <c r="AY116" s="651"/>
      <c r="AZ116" s="651"/>
      <c r="BA116" s="651"/>
      <c r="BB116" s="651"/>
      <c r="BC116" s="651"/>
      <c r="BD116" s="651"/>
      <c r="BE116" s="651"/>
      <c r="BF116" s="651"/>
      <c r="BG116" s="651"/>
      <c r="BH116" s="651"/>
    </row>
    <row r="117" spans="1:60">
      <c r="A117" s="651"/>
      <c r="B117" s="651"/>
      <c r="C117" s="651"/>
      <c r="D117" s="651"/>
      <c r="E117" s="651"/>
      <c r="F117" s="651"/>
      <c r="G117" s="651"/>
      <c r="H117" s="651"/>
      <c r="I117" s="651"/>
      <c r="J117" s="651"/>
      <c r="K117" s="651"/>
      <c r="L117" s="651"/>
      <c r="M117" s="651"/>
      <c r="N117" s="651"/>
      <c r="O117" s="651"/>
      <c r="P117" s="651"/>
      <c r="Q117" s="651"/>
      <c r="R117" s="651"/>
      <c r="S117" s="651"/>
      <c r="T117" s="651"/>
      <c r="U117" s="651"/>
      <c r="V117" s="651"/>
      <c r="W117" s="651"/>
      <c r="X117" s="651"/>
      <c r="Y117" s="651"/>
      <c r="Z117" s="651"/>
      <c r="AA117" s="651"/>
      <c r="AB117" s="651"/>
      <c r="AC117" s="651"/>
      <c r="AD117" s="651"/>
      <c r="AE117" s="651"/>
      <c r="AF117" s="651"/>
      <c r="AG117" s="651"/>
      <c r="AH117" s="651"/>
      <c r="AI117" s="651"/>
      <c r="AJ117" s="651"/>
      <c r="AK117" s="651"/>
      <c r="AL117" s="651"/>
      <c r="AM117" s="651"/>
      <c r="AN117" s="651"/>
      <c r="AO117" s="651"/>
      <c r="AP117" s="651"/>
      <c r="AQ117" s="651"/>
      <c r="AR117" s="651"/>
      <c r="AS117" s="651"/>
      <c r="AT117" s="651"/>
      <c r="AU117" s="651"/>
      <c r="AV117" s="651"/>
      <c r="AW117" s="651"/>
      <c r="AX117" s="651"/>
      <c r="AY117" s="651"/>
      <c r="AZ117" s="651"/>
      <c r="BA117" s="651"/>
      <c r="BB117" s="651"/>
      <c r="BC117" s="651"/>
      <c r="BD117" s="651"/>
      <c r="BE117" s="651"/>
      <c r="BF117" s="651"/>
      <c r="BG117" s="651"/>
      <c r="BH117" s="651"/>
    </row>
    <row r="118" spans="1:60">
      <c r="C118" s="651"/>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1"/>
      <c r="AD118" s="651"/>
      <c r="AE118" s="651"/>
      <c r="AF118" s="651"/>
      <c r="AG118" s="651"/>
      <c r="AH118" s="651"/>
      <c r="AI118" s="651"/>
      <c r="AJ118" s="651"/>
      <c r="AK118" s="651"/>
      <c r="AL118" s="651"/>
      <c r="AM118" s="651"/>
      <c r="AN118" s="651"/>
      <c r="AO118" s="651"/>
      <c r="AP118" s="651"/>
      <c r="AQ118" s="651"/>
      <c r="AR118" s="651"/>
      <c r="AS118" s="651"/>
      <c r="AT118" s="651"/>
      <c r="AU118" s="651"/>
      <c r="AV118" s="651"/>
      <c r="AW118" s="651"/>
      <c r="AX118" s="651"/>
      <c r="AY118" s="651"/>
      <c r="AZ118" s="651"/>
      <c r="BA118" s="651"/>
      <c r="BB118" s="651"/>
      <c r="BC118" s="651"/>
      <c r="BD118" s="651"/>
      <c r="BE118" s="651"/>
      <c r="BF118" s="651"/>
      <c r="BG118" s="651"/>
      <c r="BH118" s="651"/>
    </row>
    <row r="119" spans="1:60">
      <c r="C119" s="651"/>
      <c r="D119" s="651"/>
      <c r="E119" s="651"/>
      <c r="F119" s="651"/>
      <c r="G119" s="651"/>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1"/>
      <c r="AL119" s="651"/>
      <c r="AM119" s="651"/>
      <c r="AN119" s="651"/>
      <c r="AO119" s="651"/>
      <c r="AP119" s="651"/>
      <c r="AQ119" s="651"/>
      <c r="AR119" s="651"/>
      <c r="AS119" s="651"/>
      <c r="AT119" s="651"/>
      <c r="AU119" s="651"/>
      <c r="AV119" s="651"/>
      <c r="AW119" s="651"/>
      <c r="AX119" s="651"/>
      <c r="AY119" s="651"/>
      <c r="AZ119" s="651"/>
      <c r="BA119" s="651"/>
      <c r="BB119" s="651"/>
      <c r="BC119" s="651"/>
      <c r="BD119" s="651"/>
      <c r="BE119" s="651"/>
      <c r="BF119" s="651"/>
      <c r="BG119" s="651"/>
      <c r="BH119" s="651"/>
    </row>
  </sheetData>
  <sheetProtection algorithmName="SHA-512" hashValue="X4fXH8i6TKHpAx39Rp7JJo/STT82wfJ6TsSAs7r3P5TTkRdoIjfYi1qDfAS4QqUImdbUuia0JtH2+O2BEc9V6A==" saltValue="GnOLkGANBmIe1B7UTKimMQ==" spinCount="100000" sheet="1" objects="1" scenarios="1"/>
  <mergeCells count="165">
    <mergeCell ref="BG63:BG64"/>
    <mergeCell ref="A66:BG66"/>
    <mergeCell ref="A67:BG67"/>
    <mergeCell ref="A59:AL60"/>
    <mergeCell ref="AM59:AM64"/>
    <mergeCell ref="AN59:BB59"/>
    <mergeCell ref="BC59:BC64"/>
    <mergeCell ref="AN60:BB64"/>
    <mergeCell ref="BD60:BG62"/>
    <mergeCell ref="E61:S61"/>
    <mergeCell ref="V62:AG62"/>
    <mergeCell ref="V63:AG64"/>
    <mergeCell ref="BD63:BE64"/>
    <mergeCell ref="A56:AG56"/>
    <mergeCell ref="AK56:BG56"/>
    <mergeCell ref="A57:AG57"/>
    <mergeCell ref="AH57:BG57"/>
    <mergeCell ref="BD51:BG51"/>
    <mergeCell ref="AJ52:BG52"/>
    <mergeCell ref="A53:AG53"/>
    <mergeCell ref="AL53:AU53"/>
    <mergeCell ref="A54:B55"/>
    <mergeCell ref="C54:P55"/>
    <mergeCell ref="Q54:AC55"/>
    <mergeCell ref="AD54:AG55"/>
    <mergeCell ref="AX54:BC55"/>
    <mergeCell ref="AJ55:AO55"/>
    <mergeCell ref="C51:K51"/>
    <mergeCell ref="L51:AC51"/>
    <mergeCell ref="AD51:AG51"/>
    <mergeCell ref="AH51:AI52"/>
    <mergeCell ref="AK51:AT51"/>
    <mergeCell ref="AU51:BC51"/>
    <mergeCell ref="AQ55:AS55"/>
    <mergeCell ref="AU55:AW55"/>
    <mergeCell ref="BD55:BG55"/>
    <mergeCell ref="C47:K48"/>
    <mergeCell ref="L47:AC48"/>
    <mergeCell ref="AD47:AG48"/>
    <mergeCell ref="AI47:BG47"/>
    <mergeCell ref="AH48:BG48"/>
    <mergeCell ref="A49:AG50"/>
    <mergeCell ref="AH49:BG49"/>
    <mergeCell ref="AH50:AQ50"/>
    <mergeCell ref="AR50:BF50"/>
    <mergeCell ref="C44:T45"/>
    <mergeCell ref="U44:X45"/>
    <mergeCell ref="Y44:AG45"/>
    <mergeCell ref="AH44:BG44"/>
    <mergeCell ref="AI45:AR45"/>
    <mergeCell ref="AT45:BG45"/>
    <mergeCell ref="C46:O46"/>
    <mergeCell ref="Q46:AD46"/>
    <mergeCell ref="AI46:AR46"/>
    <mergeCell ref="AT46:BG46"/>
    <mergeCell ref="U38:X38"/>
    <mergeCell ref="Y38:AG38"/>
    <mergeCell ref="AK38:AT38"/>
    <mergeCell ref="AU38:BC38"/>
    <mergeCell ref="BD38:BG38"/>
    <mergeCell ref="D42:AG43"/>
    <mergeCell ref="AU42:BC43"/>
    <mergeCell ref="BD42:BG43"/>
    <mergeCell ref="AJ43:AT43"/>
    <mergeCell ref="AK36:AT36"/>
    <mergeCell ref="AU36:BC36"/>
    <mergeCell ref="BD36:BG36"/>
    <mergeCell ref="K37:AG37"/>
    <mergeCell ref="AJ37:AR37"/>
    <mergeCell ref="AS37:BG37"/>
    <mergeCell ref="A34:AG34"/>
    <mergeCell ref="AI34:BG34"/>
    <mergeCell ref="C35:O35"/>
    <mergeCell ref="Q35:AD35"/>
    <mergeCell ref="AH35:AI40"/>
    <mergeCell ref="AJ35:AR35"/>
    <mergeCell ref="AS35:BG35"/>
    <mergeCell ref="C36:K36"/>
    <mergeCell ref="L36:AC36"/>
    <mergeCell ref="AD36:AG36"/>
    <mergeCell ref="K39:AG39"/>
    <mergeCell ref="AJ39:BG39"/>
    <mergeCell ref="C40:T41"/>
    <mergeCell ref="U40:X41"/>
    <mergeCell ref="Y40:AG41"/>
    <mergeCell ref="AJ40:BG40"/>
    <mergeCell ref="AJ41:BG41"/>
    <mergeCell ref="C38:T38"/>
    <mergeCell ref="C31:K32"/>
    <mergeCell ref="L31:AO31"/>
    <mergeCell ref="AQ31:BG33"/>
    <mergeCell ref="L32:AA32"/>
    <mergeCell ref="AC32:AO32"/>
    <mergeCell ref="A33:AP33"/>
    <mergeCell ref="Z29:AA29"/>
    <mergeCell ref="AB29:AD29"/>
    <mergeCell ref="AQ29:BG29"/>
    <mergeCell ref="A30:B30"/>
    <mergeCell ref="AB30:AD30"/>
    <mergeCell ref="AS30:BG30"/>
    <mergeCell ref="A27:B27"/>
    <mergeCell ref="AB27:AD27"/>
    <mergeCell ref="AF27:AJ27"/>
    <mergeCell ref="AL27:AP27"/>
    <mergeCell ref="AQ27:BG27"/>
    <mergeCell ref="C28:AP28"/>
    <mergeCell ref="AS28:BG28"/>
    <mergeCell ref="C25:AP25"/>
    <mergeCell ref="AQ25:BG25"/>
    <mergeCell ref="Z26:AA26"/>
    <mergeCell ref="AB26:AD26"/>
    <mergeCell ref="AE26:AJ26"/>
    <mergeCell ref="AK26:AP26"/>
    <mergeCell ref="AS26:BG26"/>
    <mergeCell ref="A19:BG19"/>
    <mergeCell ref="A20:BG20"/>
    <mergeCell ref="A21:BG21"/>
    <mergeCell ref="C22:AP22"/>
    <mergeCell ref="AS22:BG22"/>
    <mergeCell ref="Z23:AA23"/>
    <mergeCell ref="AB23:AP24"/>
    <mergeCell ref="AQ23:BG23"/>
    <mergeCell ref="A24:B24"/>
    <mergeCell ref="AS24:BG24"/>
    <mergeCell ref="A16:AV16"/>
    <mergeCell ref="AW16:BG16"/>
    <mergeCell ref="A17:AI17"/>
    <mergeCell ref="AJ17:AV17"/>
    <mergeCell ref="AW17:BG17"/>
    <mergeCell ref="A18:BG18"/>
    <mergeCell ref="A14:H14"/>
    <mergeCell ref="J14:AU14"/>
    <mergeCell ref="AW14:BG14"/>
    <mergeCell ref="A15:H15"/>
    <mergeCell ref="J15:AU15"/>
    <mergeCell ref="AW15:BG15"/>
    <mergeCell ref="A12:AK12"/>
    <mergeCell ref="AL12:AU12"/>
    <mergeCell ref="AW12:BG12"/>
    <mergeCell ref="A13:AJ13"/>
    <mergeCell ref="AL13:AU13"/>
    <mergeCell ref="AW13:BG13"/>
    <mergeCell ref="A9:BG9"/>
    <mergeCell ref="A10:AJ10"/>
    <mergeCell ref="AL10:BA10"/>
    <mergeCell ref="BC10:BG10"/>
    <mergeCell ref="A11:AJ11"/>
    <mergeCell ref="AL11:BA11"/>
    <mergeCell ref="BC11:BG11"/>
    <mergeCell ref="AG6:AO6"/>
    <mergeCell ref="A7:AB7"/>
    <mergeCell ref="AC7:AF7"/>
    <mergeCell ref="AH7:AL7"/>
    <mergeCell ref="AO7:AS7"/>
    <mergeCell ref="A8:BG8"/>
    <mergeCell ref="AC1:AP1"/>
    <mergeCell ref="AT1:BG7"/>
    <mergeCell ref="BI1:BK1"/>
    <mergeCell ref="AC2:AP2"/>
    <mergeCell ref="AC3:AP3"/>
    <mergeCell ref="A4:X4"/>
    <mergeCell ref="Y4:AB4"/>
    <mergeCell ref="AC4:AP4"/>
    <mergeCell ref="A5:AC6"/>
    <mergeCell ref="AE5:AP5"/>
  </mergeCells>
  <pageMargins left="0.62992125984251968" right="0.35433070866141736" top="0.59055118110236227" bottom="0.19685039370078741" header="0.51181102362204722" footer="0"/>
  <pageSetup paperSize="9" scale="80"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C057-43B2-4408-AB01-5D57BECD5450}">
  <sheetPr>
    <tabColor theme="6" tint="0.59999389629810485"/>
  </sheetPr>
  <dimension ref="A1:EC119"/>
  <sheetViews>
    <sheetView workbookViewId="0">
      <selection activeCell="A11" sqref="A11:AJ11"/>
    </sheetView>
  </sheetViews>
  <sheetFormatPr defaultRowHeight="12.75"/>
  <cols>
    <col min="1" max="1" width="2.7109375" style="314" customWidth="1"/>
    <col min="2" max="2" width="1.42578125" style="314" customWidth="1"/>
    <col min="3" max="3" width="2.28515625" style="314" customWidth="1"/>
    <col min="4" max="4" width="0.85546875" style="314" customWidth="1"/>
    <col min="5" max="5" width="2.28515625" style="314" customWidth="1"/>
    <col min="6" max="6" width="0.85546875" style="314" customWidth="1"/>
    <col min="7" max="7" width="2.28515625" style="314" customWidth="1"/>
    <col min="8" max="8" width="0.85546875" style="314" customWidth="1"/>
    <col min="9" max="9" width="2.28515625" style="314" customWidth="1"/>
    <col min="10" max="10" width="0.85546875" style="314" customWidth="1"/>
    <col min="11" max="11" width="2.28515625" style="314" customWidth="1"/>
    <col min="12" max="12" width="0.85546875" style="314" customWidth="1"/>
    <col min="13" max="13" width="2.28515625" style="314" customWidth="1"/>
    <col min="14" max="14" width="0.85546875" style="314" customWidth="1"/>
    <col min="15" max="15" width="2.28515625" style="314" customWidth="1"/>
    <col min="16" max="16" width="0.85546875" style="314" customWidth="1"/>
    <col min="17" max="17" width="2.28515625" style="314" customWidth="1"/>
    <col min="18" max="18" width="0.85546875" style="314" customWidth="1"/>
    <col min="19" max="19" width="2.28515625" style="314" customWidth="1"/>
    <col min="20" max="20" width="0.85546875" style="314" customWidth="1"/>
    <col min="21" max="21" width="2.28515625" style="314" customWidth="1"/>
    <col min="22" max="22" width="0.85546875" style="314" customWidth="1"/>
    <col min="23" max="23" width="2.28515625" style="314" customWidth="1"/>
    <col min="24" max="24" width="0.85546875" style="314" customWidth="1"/>
    <col min="25" max="25" width="2.28515625" style="314" customWidth="1"/>
    <col min="26" max="26" width="0.7109375" style="314" customWidth="1"/>
    <col min="27" max="28" width="2.28515625" style="314" customWidth="1"/>
    <col min="29" max="29" width="3.7109375" style="314" customWidth="1"/>
    <col min="30" max="30" width="3" style="314" customWidth="1"/>
    <col min="31" max="31" width="2.28515625" style="314" customWidth="1"/>
    <col min="32" max="32" width="0.85546875" style="314" customWidth="1"/>
    <col min="33" max="33" width="2.28515625" style="314" customWidth="1"/>
    <col min="34" max="34" width="0.85546875" style="314" customWidth="1"/>
    <col min="35" max="35" width="2.28515625" style="314" customWidth="1"/>
    <col min="36" max="36" width="0.85546875" style="314" customWidth="1"/>
    <col min="37" max="37" width="2.28515625" style="314" customWidth="1"/>
    <col min="38" max="38" width="0.85546875" style="314" customWidth="1"/>
    <col min="39" max="39" width="2.28515625" style="314" customWidth="1"/>
    <col min="40" max="40" width="0.85546875" style="314" customWidth="1"/>
    <col min="41" max="42" width="2.28515625" style="314" customWidth="1"/>
    <col min="43" max="43" width="2.140625" style="314" customWidth="1"/>
    <col min="44" max="44" width="2.85546875" style="314" customWidth="1"/>
    <col min="45" max="46" width="2.7109375" style="314" customWidth="1"/>
    <col min="47" max="49" width="2.5703125" style="314" customWidth="1"/>
    <col min="50" max="50" width="2.7109375" style="314" customWidth="1"/>
    <col min="51" max="52" width="2.5703125" style="314" customWidth="1"/>
    <col min="53" max="54" width="2.7109375" style="314" customWidth="1"/>
    <col min="55" max="59" width="2.5703125" style="314" customWidth="1"/>
    <col min="60" max="60" width="9.28515625" style="314" customWidth="1"/>
    <col min="61" max="64" width="9.28515625" style="651" customWidth="1"/>
    <col min="65" max="65" width="4.7109375" style="651" customWidth="1"/>
    <col min="66" max="70" width="4.7109375" style="651" hidden="1" customWidth="1"/>
    <col min="71" max="79" width="4.7109375" style="546" hidden="1" customWidth="1"/>
    <col min="80" max="133" width="9.140625" style="546"/>
    <col min="134" max="16384" width="9.140625" style="314"/>
  </cols>
  <sheetData>
    <row r="1" spans="1:133" ht="33" customHeight="1">
      <c r="A1" s="2314"/>
      <c r="B1" s="2310"/>
      <c r="C1" s="2310"/>
      <c r="D1" s="2310"/>
      <c r="E1" s="2310"/>
      <c r="F1" s="2310"/>
      <c r="G1" s="2310"/>
      <c r="H1" s="2310"/>
      <c r="I1" s="2310"/>
      <c r="J1" s="2310"/>
      <c r="K1" s="2310"/>
      <c r="L1" s="2310"/>
      <c r="M1" s="2310"/>
      <c r="N1" s="2310"/>
      <c r="O1" s="2310"/>
      <c r="P1" s="2310"/>
      <c r="Q1" s="2310"/>
      <c r="R1" s="2310"/>
      <c r="S1" s="2310"/>
      <c r="T1" s="2310"/>
      <c r="U1" s="2310"/>
      <c r="V1" s="2310"/>
      <c r="W1" s="2310"/>
      <c r="X1" s="2310"/>
      <c r="Y1" s="2310"/>
      <c r="Z1" s="2310"/>
      <c r="AA1" s="2310"/>
      <c r="AB1" s="2310"/>
      <c r="AC1" s="2328" t="s">
        <v>3055</v>
      </c>
      <c r="AD1" s="2329"/>
      <c r="AE1" s="2329"/>
      <c r="AF1" s="2329"/>
      <c r="AG1" s="2329"/>
      <c r="AH1" s="2329"/>
      <c r="AI1" s="2329"/>
      <c r="AJ1" s="2329"/>
      <c r="AK1" s="2329"/>
      <c r="AL1" s="2329"/>
      <c r="AM1" s="2329"/>
      <c r="AN1" s="2329"/>
      <c r="AO1" s="2329"/>
      <c r="AP1" s="2330"/>
      <c r="AQ1" s="534"/>
      <c r="AR1" s="534"/>
      <c r="AS1" s="728"/>
      <c r="AT1" s="2331" t="s">
        <v>3132</v>
      </c>
      <c r="AU1" s="2332"/>
      <c r="AV1" s="2332"/>
      <c r="AW1" s="2332"/>
      <c r="AX1" s="2332"/>
      <c r="AY1" s="2332"/>
      <c r="AZ1" s="2332"/>
      <c r="BA1" s="2332"/>
      <c r="BB1" s="2332"/>
      <c r="BC1" s="2332"/>
      <c r="BD1" s="2332"/>
      <c r="BE1" s="2332"/>
      <c r="BF1" s="2332"/>
      <c r="BG1" s="2333"/>
      <c r="BH1" s="649"/>
      <c r="BI1" s="2073" t="s">
        <v>3057</v>
      </c>
      <c r="BJ1" s="2074"/>
      <c r="BK1" s="2074"/>
      <c r="BL1" s="649"/>
    </row>
    <row r="2" spans="1:133" ht="18" customHeight="1">
      <c r="A2" s="2309" t="s">
        <v>3128</v>
      </c>
      <c r="B2" s="2310"/>
      <c r="C2" s="2310"/>
      <c r="D2" s="2310"/>
      <c r="E2" s="2310"/>
      <c r="F2" s="2310"/>
      <c r="G2" s="2310"/>
      <c r="H2" s="2310"/>
      <c r="I2" s="2310"/>
      <c r="J2" s="2310"/>
      <c r="K2" s="2310"/>
      <c r="L2" s="2310"/>
      <c r="M2" s="2310"/>
      <c r="N2" s="2310"/>
      <c r="O2" s="2310"/>
      <c r="P2" s="2310"/>
      <c r="Q2" s="2310"/>
      <c r="R2" s="2310"/>
      <c r="S2" s="2310"/>
      <c r="T2" s="2310"/>
      <c r="U2" s="2310"/>
      <c r="V2" s="2310"/>
      <c r="W2" s="2310"/>
      <c r="X2" s="2310"/>
      <c r="Y2" s="2310"/>
      <c r="Z2" s="729"/>
      <c r="AA2" s="729"/>
      <c r="AB2" s="727"/>
      <c r="AC2" s="2311" t="s">
        <v>3058</v>
      </c>
      <c r="AD2" s="2312"/>
      <c r="AE2" s="2312"/>
      <c r="AF2" s="2312"/>
      <c r="AG2" s="2312"/>
      <c r="AH2" s="2312"/>
      <c r="AI2" s="2312"/>
      <c r="AJ2" s="2312"/>
      <c r="AK2" s="2312"/>
      <c r="AL2" s="2312"/>
      <c r="AM2" s="2312"/>
      <c r="AN2" s="2312"/>
      <c r="AO2" s="2312"/>
      <c r="AP2" s="2313"/>
      <c r="AQ2" s="534"/>
      <c r="AR2" s="653"/>
      <c r="AS2" s="728"/>
      <c r="AT2" s="2334"/>
      <c r="AU2" s="2335"/>
      <c r="AV2" s="2335"/>
      <c r="AW2" s="2335"/>
      <c r="AX2" s="2335"/>
      <c r="AY2" s="2335"/>
      <c r="AZ2" s="2335"/>
      <c r="BA2" s="2335"/>
      <c r="BB2" s="2335"/>
      <c r="BC2" s="2335"/>
      <c r="BD2" s="2335"/>
      <c r="BE2" s="2335"/>
      <c r="BF2" s="2335"/>
      <c r="BG2" s="2336"/>
      <c r="BH2" s="649"/>
      <c r="BI2" s="650" t="s">
        <v>3059</v>
      </c>
      <c r="BJ2" s="650"/>
      <c r="BK2" s="650" t="s">
        <v>3060</v>
      </c>
      <c r="BL2" s="649"/>
    </row>
    <row r="3" spans="1:133" ht="14.25" customHeight="1">
      <c r="A3" s="2314"/>
      <c r="B3" s="2310"/>
      <c r="C3" s="2310"/>
      <c r="D3" s="2310"/>
      <c r="E3" s="2310"/>
      <c r="F3" s="2310"/>
      <c r="G3" s="2310"/>
      <c r="H3" s="2310"/>
      <c r="I3" s="2310"/>
      <c r="J3" s="2310"/>
      <c r="K3" s="2310"/>
      <c r="L3" s="2310"/>
      <c r="M3" s="2310"/>
      <c r="N3" s="2310"/>
      <c r="O3" s="2310"/>
      <c r="P3" s="2310"/>
      <c r="Q3" s="2310"/>
      <c r="R3" s="2310"/>
      <c r="S3" s="2310"/>
      <c r="T3" s="2310"/>
      <c r="U3" s="2310"/>
      <c r="V3" s="2310"/>
      <c r="W3" s="2310"/>
      <c r="X3" s="2310"/>
      <c r="Y3" s="2310"/>
      <c r="Z3" s="2310"/>
      <c r="AA3" s="2310"/>
      <c r="AB3" s="2310"/>
      <c r="AC3" s="2315" t="s">
        <v>3061</v>
      </c>
      <c r="AD3" s="2316"/>
      <c r="AE3" s="2316"/>
      <c r="AF3" s="2316"/>
      <c r="AG3" s="2316"/>
      <c r="AH3" s="2316"/>
      <c r="AI3" s="2316"/>
      <c r="AJ3" s="2316"/>
      <c r="AK3" s="2316"/>
      <c r="AL3" s="2316"/>
      <c r="AM3" s="2316"/>
      <c r="AN3" s="2316"/>
      <c r="AO3" s="2316"/>
      <c r="AP3" s="2317"/>
      <c r="AQ3" s="534"/>
      <c r="AR3" s="534"/>
      <c r="AS3" s="728"/>
      <c r="AT3" s="2334"/>
      <c r="AU3" s="2335"/>
      <c r="AV3" s="2335"/>
      <c r="AW3" s="2335"/>
      <c r="AX3" s="2335"/>
      <c r="AY3" s="2335"/>
      <c r="AZ3" s="2335"/>
      <c r="BA3" s="2335"/>
      <c r="BB3" s="2335"/>
      <c r="BC3" s="2335"/>
      <c r="BD3" s="2335"/>
      <c r="BE3" s="2335"/>
      <c r="BF3" s="2335"/>
      <c r="BG3" s="2336"/>
      <c r="BH3" s="649"/>
      <c r="BI3" s="654" t="s">
        <v>234</v>
      </c>
      <c r="BJ3" s="649"/>
      <c r="BK3" s="654"/>
      <c r="BL3" s="649"/>
    </row>
    <row r="4" spans="1:133" ht="21.95" customHeight="1">
      <c r="A4" s="2310"/>
      <c r="B4" s="2310"/>
      <c r="C4" s="2310"/>
      <c r="D4" s="2310"/>
      <c r="E4" s="2310"/>
      <c r="F4" s="2310"/>
      <c r="G4" s="2310"/>
      <c r="H4" s="2310"/>
      <c r="I4" s="2310"/>
      <c r="J4" s="2310"/>
      <c r="K4" s="2310"/>
      <c r="L4" s="2310"/>
      <c r="M4" s="2310"/>
      <c r="N4" s="2310"/>
      <c r="O4" s="2310"/>
      <c r="P4" s="2310"/>
      <c r="Q4" s="2310"/>
      <c r="R4" s="2310"/>
      <c r="S4" s="2310"/>
      <c r="T4" s="2310"/>
      <c r="U4" s="2310"/>
      <c r="V4" s="2310"/>
      <c r="W4" s="2310"/>
      <c r="X4" s="2310"/>
      <c r="Y4" s="2310"/>
      <c r="Z4" s="2310"/>
      <c r="AA4" s="2310"/>
      <c r="AB4" s="2310"/>
      <c r="AC4" s="2318">
        <v>2025</v>
      </c>
      <c r="AD4" s="2319"/>
      <c r="AE4" s="2319"/>
      <c r="AF4" s="2319"/>
      <c r="AG4" s="2319"/>
      <c r="AH4" s="2319"/>
      <c r="AI4" s="2319"/>
      <c r="AJ4" s="2319"/>
      <c r="AK4" s="2319"/>
      <c r="AL4" s="2319"/>
      <c r="AM4" s="2319"/>
      <c r="AN4" s="2319"/>
      <c r="AO4" s="2319"/>
      <c r="AP4" s="2320"/>
      <c r="AQ4" s="534"/>
      <c r="AR4" s="534"/>
      <c r="AS4" s="728"/>
      <c r="AT4" s="2334"/>
      <c r="AU4" s="2335"/>
      <c r="AV4" s="2335"/>
      <c r="AW4" s="2335"/>
      <c r="AX4" s="2335"/>
      <c r="AY4" s="2335"/>
      <c r="AZ4" s="2335"/>
      <c r="BA4" s="2335"/>
      <c r="BB4" s="2335"/>
      <c r="BC4" s="2335"/>
      <c r="BD4" s="2335"/>
      <c r="BE4" s="2335"/>
      <c r="BF4" s="2335"/>
      <c r="BG4" s="2336"/>
      <c r="BH4" s="649"/>
      <c r="BI4" s="649"/>
      <c r="BJ4" s="649"/>
      <c r="BK4" s="649"/>
      <c r="BL4" s="649"/>
    </row>
    <row r="5" spans="1:133" ht="12" customHeight="1">
      <c r="A5" s="2321" t="s">
        <v>3063</v>
      </c>
      <c r="B5" s="2321"/>
      <c r="C5" s="2321"/>
      <c r="D5" s="2321"/>
      <c r="E5" s="2321"/>
      <c r="F5" s="2321"/>
      <c r="G5" s="2321"/>
      <c r="H5" s="2321"/>
      <c r="I5" s="2321"/>
      <c r="J5" s="2321"/>
      <c r="K5" s="2321"/>
      <c r="L5" s="2321"/>
      <c r="M5" s="2321"/>
      <c r="N5" s="2321"/>
      <c r="O5" s="2321"/>
      <c r="P5" s="2321"/>
      <c r="Q5" s="2321"/>
      <c r="R5" s="2321"/>
      <c r="S5" s="2321"/>
      <c r="T5" s="2321"/>
      <c r="U5" s="2321"/>
      <c r="V5" s="2321"/>
      <c r="W5" s="2321"/>
      <c r="X5" s="2321"/>
      <c r="Y5" s="2321"/>
      <c r="Z5" s="2321"/>
      <c r="AA5" s="2321"/>
      <c r="AB5" s="2321"/>
      <c r="AC5" s="2321"/>
      <c r="AD5" s="535"/>
      <c r="AE5" s="2087"/>
      <c r="AF5" s="2087"/>
      <c r="AG5" s="1525"/>
      <c r="AH5" s="1525"/>
      <c r="AI5" s="1525"/>
      <c r="AJ5" s="1525"/>
      <c r="AK5" s="1525"/>
      <c r="AL5" s="1525"/>
      <c r="AM5" s="1525"/>
      <c r="AN5" s="1525"/>
      <c r="AO5" s="1525"/>
      <c r="AP5" s="1525"/>
      <c r="AQ5" s="534"/>
      <c r="AR5" s="534"/>
      <c r="AS5" s="728"/>
      <c r="AT5" s="2334"/>
      <c r="AU5" s="2335"/>
      <c r="AV5" s="2335"/>
      <c r="AW5" s="2335"/>
      <c r="AX5" s="2335"/>
      <c r="AY5" s="2335"/>
      <c r="AZ5" s="2335"/>
      <c r="BA5" s="2335"/>
      <c r="BB5" s="2335"/>
      <c r="BC5" s="2335"/>
      <c r="BD5" s="2335"/>
      <c r="BE5" s="2335"/>
      <c r="BF5" s="2335"/>
      <c r="BG5" s="2336"/>
      <c r="BH5" s="651"/>
    </row>
    <row r="6" spans="1:133" ht="12" customHeight="1">
      <c r="A6" s="2321"/>
      <c r="B6" s="2321"/>
      <c r="C6" s="2321"/>
      <c r="D6" s="2321"/>
      <c r="E6" s="2321"/>
      <c r="F6" s="2321"/>
      <c r="G6" s="2321"/>
      <c r="H6" s="2321"/>
      <c r="I6" s="2321"/>
      <c r="J6" s="2321"/>
      <c r="K6" s="2321"/>
      <c r="L6" s="2321"/>
      <c r="M6" s="2321"/>
      <c r="N6" s="2321"/>
      <c r="O6" s="2321"/>
      <c r="P6" s="2321"/>
      <c r="Q6" s="2321"/>
      <c r="R6" s="2321"/>
      <c r="S6" s="2321"/>
      <c r="T6" s="2321"/>
      <c r="U6" s="2321"/>
      <c r="V6" s="2321"/>
      <c r="W6" s="2321"/>
      <c r="X6" s="2321"/>
      <c r="Y6" s="2321"/>
      <c r="Z6" s="2321"/>
      <c r="AA6" s="2321"/>
      <c r="AB6" s="2321"/>
      <c r="AC6" s="2321"/>
      <c r="AD6" s="535"/>
      <c r="AE6" s="534"/>
      <c r="AF6" s="534"/>
      <c r="AG6" s="2322" t="s">
        <v>3064</v>
      </c>
      <c r="AH6" s="2322"/>
      <c r="AI6" s="2322"/>
      <c r="AJ6" s="2322"/>
      <c r="AK6" s="2322"/>
      <c r="AL6" s="2322"/>
      <c r="AM6" s="2322"/>
      <c r="AN6" s="2322"/>
      <c r="AO6" s="2322"/>
      <c r="AP6" s="534"/>
      <c r="AQ6" s="534"/>
      <c r="AR6" s="534"/>
      <c r="AS6" s="534"/>
      <c r="AT6" s="2334"/>
      <c r="AU6" s="2335"/>
      <c r="AV6" s="2335"/>
      <c r="AW6" s="2335"/>
      <c r="AX6" s="2335"/>
      <c r="AY6" s="2335"/>
      <c r="AZ6" s="2335"/>
      <c r="BA6" s="2335"/>
      <c r="BB6" s="2335"/>
      <c r="BC6" s="2335"/>
      <c r="BD6" s="2335"/>
      <c r="BE6" s="2335"/>
      <c r="BF6" s="2335"/>
      <c r="BG6" s="2336"/>
      <c r="BH6" s="651"/>
    </row>
    <row r="7" spans="1:133" ht="9" customHeight="1">
      <c r="A7" s="2323" t="s">
        <v>3065</v>
      </c>
      <c r="B7" s="2053"/>
      <c r="C7" s="2053"/>
      <c r="D7" s="2053"/>
      <c r="E7" s="2053"/>
      <c r="F7" s="2053"/>
      <c r="G7" s="2053"/>
      <c r="H7" s="2053"/>
      <c r="I7" s="2053"/>
      <c r="J7" s="2053"/>
      <c r="K7" s="2053"/>
      <c r="L7" s="2053"/>
      <c r="M7" s="2053"/>
      <c r="N7" s="2053"/>
      <c r="O7" s="2053"/>
      <c r="P7" s="2053"/>
      <c r="Q7" s="2053"/>
      <c r="R7" s="2053"/>
      <c r="S7" s="2053"/>
      <c r="T7" s="2053"/>
      <c r="U7" s="2053"/>
      <c r="V7" s="2053"/>
      <c r="W7" s="2053"/>
      <c r="X7" s="2053"/>
      <c r="Y7" s="2053"/>
      <c r="Z7" s="2053"/>
      <c r="AA7" s="2053"/>
      <c r="AB7" s="2053"/>
      <c r="AC7" s="2324" t="s">
        <v>304</v>
      </c>
      <c r="AD7" s="1525"/>
      <c r="AE7" s="1525"/>
      <c r="AF7" s="2055"/>
      <c r="AG7" s="730" t="s">
        <v>234</v>
      </c>
      <c r="AH7" s="2325" t="s">
        <v>305</v>
      </c>
      <c r="AI7" s="2326"/>
      <c r="AJ7" s="2326"/>
      <c r="AK7" s="2326"/>
      <c r="AL7" s="2327"/>
      <c r="AM7" s="730"/>
      <c r="AN7" s="731"/>
      <c r="AO7" s="1592"/>
      <c r="AP7" s="1525"/>
      <c r="AQ7" s="1525"/>
      <c r="AR7" s="1525"/>
      <c r="AS7" s="1525"/>
      <c r="AT7" s="2337"/>
      <c r="AU7" s="2338"/>
      <c r="AV7" s="2338"/>
      <c r="AW7" s="2338"/>
      <c r="AX7" s="2338"/>
      <c r="AY7" s="2338"/>
      <c r="AZ7" s="2338"/>
      <c r="BA7" s="2338"/>
      <c r="BB7" s="2338"/>
      <c r="BC7" s="2338"/>
      <c r="BD7" s="2338"/>
      <c r="BE7" s="2338"/>
      <c r="BF7" s="2338"/>
      <c r="BG7" s="2339"/>
      <c r="BH7" s="651"/>
    </row>
    <row r="8" spans="1:133">
      <c r="A8" s="2353" t="s">
        <v>3066</v>
      </c>
      <c r="B8" s="2353"/>
      <c r="C8" s="2353"/>
      <c r="D8" s="2353"/>
      <c r="E8" s="2353"/>
      <c r="F8" s="2353"/>
      <c r="G8" s="2353"/>
      <c r="H8" s="2353"/>
      <c r="I8" s="2353"/>
      <c r="J8" s="2353"/>
      <c r="K8" s="2353"/>
      <c r="L8" s="2353"/>
      <c r="M8" s="2353"/>
      <c r="N8" s="2353"/>
      <c r="O8" s="2353"/>
      <c r="P8" s="2353"/>
      <c r="Q8" s="2353"/>
      <c r="R8" s="2353"/>
      <c r="S8" s="2353"/>
      <c r="T8" s="2353"/>
      <c r="U8" s="2353"/>
      <c r="V8" s="2353"/>
      <c r="W8" s="2353"/>
      <c r="X8" s="2353"/>
      <c r="Y8" s="2353"/>
      <c r="Z8" s="2353"/>
      <c r="AA8" s="2353"/>
      <c r="AB8" s="2353"/>
      <c r="AC8" s="2353"/>
      <c r="AD8" s="2353"/>
      <c r="AE8" s="2353"/>
      <c r="AF8" s="2353"/>
      <c r="AG8" s="2353"/>
      <c r="AH8" s="2353"/>
      <c r="AI8" s="2353"/>
      <c r="AJ8" s="2353"/>
      <c r="AK8" s="2353"/>
      <c r="AL8" s="2353"/>
      <c r="AM8" s="2353"/>
      <c r="AN8" s="2353"/>
      <c r="AO8" s="2353"/>
      <c r="AP8" s="2353"/>
      <c r="AQ8" s="2353"/>
      <c r="AR8" s="2353"/>
      <c r="AS8" s="2353"/>
      <c r="AT8" s="2353"/>
      <c r="AU8" s="2353"/>
      <c r="AV8" s="2353"/>
      <c r="AW8" s="2353"/>
      <c r="AX8" s="2353"/>
      <c r="AY8" s="2353"/>
      <c r="AZ8" s="2353"/>
      <c r="BA8" s="2353"/>
      <c r="BB8" s="2353"/>
      <c r="BC8" s="2353"/>
      <c r="BD8" s="2353"/>
      <c r="BE8" s="2353"/>
      <c r="BF8" s="2353"/>
      <c r="BG8" s="2353"/>
      <c r="BH8" s="651"/>
    </row>
    <row r="9" spans="1:133" ht="15" customHeight="1">
      <c r="A9" s="2354" t="s">
        <v>3067</v>
      </c>
      <c r="B9" s="2355"/>
      <c r="C9" s="2355"/>
      <c r="D9" s="2355"/>
      <c r="E9" s="2355"/>
      <c r="F9" s="2355"/>
      <c r="G9" s="2355"/>
      <c r="H9" s="2355"/>
      <c r="I9" s="2355"/>
      <c r="J9" s="2355"/>
      <c r="K9" s="2355"/>
      <c r="L9" s="2355"/>
      <c r="M9" s="2355"/>
      <c r="N9" s="2355"/>
      <c r="O9" s="2355"/>
      <c r="P9" s="2355"/>
      <c r="Q9" s="2355"/>
      <c r="R9" s="2355"/>
      <c r="S9" s="2355"/>
      <c r="T9" s="2355"/>
      <c r="U9" s="2355"/>
      <c r="V9" s="2355"/>
      <c r="W9" s="2355"/>
      <c r="X9" s="2355"/>
      <c r="Y9" s="2355"/>
      <c r="Z9" s="2355"/>
      <c r="AA9" s="2355"/>
      <c r="AB9" s="2355"/>
      <c r="AC9" s="2355"/>
      <c r="AD9" s="2355"/>
      <c r="AE9" s="2355"/>
      <c r="AF9" s="2355"/>
      <c r="AG9" s="2355"/>
      <c r="AH9" s="2355"/>
      <c r="AI9" s="2355"/>
      <c r="AJ9" s="2355"/>
      <c r="AK9" s="2355"/>
      <c r="AL9" s="2355"/>
      <c r="AM9" s="2355"/>
      <c r="AN9" s="2355"/>
      <c r="AO9" s="2355"/>
      <c r="AP9" s="2355"/>
      <c r="AQ9" s="2355"/>
      <c r="AR9" s="2355"/>
      <c r="AS9" s="2355"/>
      <c r="AT9" s="2355"/>
      <c r="AU9" s="2355"/>
      <c r="AV9" s="2355"/>
      <c r="AW9" s="2355"/>
      <c r="AX9" s="2355"/>
      <c r="AY9" s="2355"/>
      <c r="AZ9" s="2355"/>
      <c r="BA9" s="2355"/>
      <c r="BB9" s="2355"/>
      <c r="BC9" s="2355"/>
      <c r="BD9" s="2355"/>
      <c r="BE9" s="2355"/>
      <c r="BF9" s="2355"/>
      <c r="BG9" s="2356"/>
      <c r="BH9" s="651"/>
    </row>
    <row r="10" spans="1:133" s="664" customFormat="1" ht="9.9499999999999993" customHeight="1">
      <c r="A10" s="2340" t="s">
        <v>88</v>
      </c>
      <c r="B10" s="2342"/>
      <c r="C10" s="2342"/>
      <c r="D10" s="2342"/>
      <c r="E10" s="2342"/>
      <c r="F10" s="2342"/>
      <c r="G10" s="2342"/>
      <c r="H10" s="2342"/>
      <c r="I10" s="2342"/>
      <c r="J10" s="2342"/>
      <c r="K10" s="2342"/>
      <c r="L10" s="2342"/>
      <c r="M10" s="2342"/>
      <c r="N10" s="2342"/>
      <c r="O10" s="2342"/>
      <c r="P10" s="2342"/>
      <c r="Q10" s="2342"/>
      <c r="R10" s="2342"/>
      <c r="S10" s="2342"/>
      <c r="T10" s="2342"/>
      <c r="U10" s="2342"/>
      <c r="V10" s="2342"/>
      <c r="W10" s="2342"/>
      <c r="X10" s="2342"/>
      <c r="Y10" s="2342"/>
      <c r="Z10" s="2342"/>
      <c r="AA10" s="2342"/>
      <c r="AB10" s="2342"/>
      <c r="AC10" s="2342"/>
      <c r="AD10" s="2342"/>
      <c r="AE10" s="2342"/>
      <c r="AF10" s="2342"/>
      <c r="AG10" s="2342"/>
      <c r="AH10" s="2342"/>
      <c r="AI10" s="2342"/>
      <c r="AJ10" s="2342"/>
      <c r="AK10" s="733"/>
      <c r="AL10" s="2341" t="s">
        <v>87</v>
      </c>
      <c r="AM10" s="2342"/>
      <c r="AN10" s="2342"/>
      <c r="AO10" s="2342"/>
      <c r="AP10" s="2342"/>
      <c r="AQ10" s="2342"/>
      <c r="AR10" s="2342"/>
      <c r="AS10" s="2342"/>
      <c r="AT10" s="2342"/>
      <c r="AU10" s="2342"/>
      <c r="AV10" s="2342"/>
      <c r="AW10" s="2342"/>
      <c r="AX10" s="2342"/>
      <c r="AY10" s="2342"/>
      <c r="AZ10" s="2342"/>
      <c r="BA10" s="2342"/>
      <c r="BB10" s="734"/>
      <c r="BC10" s="2341" t="s">
        <v>106</v>
      </c>
      <c r="BD10" s="2341"/>
      <c r="BE10" s="2341"/>
      <c r="BF10" s="2341"/>
      <c r="BG10" s="2357"/>
      <c r="BH10" s="651"/>
      <c r="BI10" s="662"/>
      <c r="BJ10" s="662"/>
      <c r="BK10" s="662"/>
      <c r="BL10" s="662"/>
      <c r="BM10" s="662"/>
      <c r="BN10" s="662"/>
      <c r="BO10" s="662"/>
      <c r="BP10" s="662"/>
      <c r="BQ10" s="662"/>
      <c r="BR10" s="662"/>
      <c r="BS10" s="663"/>
      <c r="BT10" s="663"/>
      <c r="BU10" s="663"/>
      <c r="BV10" s="663"/>
      <c r="BW10" s="663"/>
      <c r="BX10" s="663"/>
      <c r="BY10" s="663"/>
      <c r="BZ10" s="663"/>
      <c r="CA10" s="663"/>
      <c r="CB10" s="663"/>
      <c r="CC10" s="663"/>
      <c r="CD10" s="663"/>
      <c r="CE10" s="663"/>
      <c r="CF10" s="663"/>
      <c r="CG10" s="663"/>
      <c r="CH10" s="663"/>
      <c r="CI10" s="663"/>
      <c r="CJ10" s="663"/>
      <c r="CK10" s="663"/>
      <c r="CL10" s="663"/>
      <c r="CM10" s="663"/>
      <c r="CN10" s="663"/>
      <c r="CO10" s="663"/>
      <c r="CP10" s="663"/>
      <c r="CQ10" s="663"/>
      <c r="CR10" s="663"/>
      <c r="CS10" s="663"/>
      <c r="CT10" s="663"/>
      <c r="CU10" s="663"/>
      <c r="CV10" s="663"/>
      <c r="CW10" s="663"/>
      <c r="CX10" s="663"/>
      <c r="CY10" s="663"/>
      <c r="CZ10" s="663"/>
      <c r="DA10" s="663"/>
      <c r="DB10" s="663"/>
      <c r="DC10" s="663"/>
      <c r="DD10" s="663"/>
      <c r="DE10" s="663"/>
      <c r="DF10" s="663"/>
      <c r="DG10" s="663"/>
      <c r="DH10" s="663"/>
      <c r="DI10" s="663"/>
      <c r="DJ10" s="663"/>
      <c r="DK10" s="663"/>
      <c r="DL10" s="663"/>
      <c r="DM10" s="663"/>
      <c r="DN10" s="663"/>
      <c r="DO10" s="663"/>
      <c r="DP10" s="663"/>
      <c r="DQ10" s="663"/>
      <c r="DR10" s="663"/>
      <c r="DS10" s="663"/>
      <c r="DT10" s="663"/>
      <c r="DU10" s="663"/>
      <c r="DV10" s="663"/>
      <c r="DW10" s="663"/>
      <c r="DX10" s="663"/>
      <c r="DY10" s="663"/>
      <c r="DZ10" s="663"/>
      <c r="EA10" s="663"/>
      <c r="EB10" s="663"/>
      <c r="EC10" s="663"/>
    </row>
    <row r="11" spans="1:133" s="536" customFormat="1" ht="24" customHeight="1">
      <c r="A11" s="2346" t="str">
        <f>+CONCATENATE(ZAKL_DATA!B5)</f>
        <v/>
      </c>
      <c r="B11" s="2347"/>
      <c r="C11" s="2347"/>
      <c r="D11" s="2347"/>
      <c r="E11" s="2347"/>
      <c r="F11" s="2347"/>
      <c r="G11" s="2347"/>
      <c r="H11" s="2347"/>
      <c r="I11" s="2347"/>
      <c r="J11" s="2347"/>
      <c r="K11" s="2347"/>
      <c r="L11" s="2347"/>
      <c r="M11" s="2347"/>
      <c r="N11" s="2347"/>
      <c r="O11" s="2347"/>
      <c r="P11" s="2347"/>
      <c r="Q11" s="2347"/>
      <c r="R11" s="2347"/>
      <c r="S11" s="2347"/>
      <c r="T11" s="2347"/>
      <c r="U11" s="2347"/>
      <c r="V11" s="2347"/>
      <c r="W11" s="2347"/>
      <c r="X11" s="2347"/>
      <c r="Y11" s="2347"/>
      <c r="Z11" s="2347"/>
      <c r="AA11" s="2347"/>
      <c r="AB11" s="2347"/>
      <c r="AC11" s="2347"/>
      <c r="AD11" s="2347"/>
      <c r="AE11" s="2347"/>
      <c r="AF11" s="2347"/>
      <c r="AG11" s="2347"/>
      <c r="AH11" s="2347"/>
      <c r="AI11" s="2347"/>
      <c r="AJ11" s="2348"/>
      <c r="AK11" s="735"/>
      <c r="AL11" s="2346" t="str">
        <f>+CONCATENATE(+ZAKL_DATA!B4)</f>
        <v/>
      </c>
      <c r="AM11" s="2347"/>
      <c r="AN11" s="2347"/>
      <c r="AO11" s="2347"/>
      <c r="AP11" s="2347"/>
      <c r="AQ11" s="2347"/>
      <c r="AR11" s="2347"/>
      <c r="AS11" s="2347"/>
      <c r="AT11" s="2347"/>
      <c r="AU11" s="2347"/>
      <c r="AV11" s="2347"/>
      <c r="AW11" s="2347"/>
      <c r="AX11" s="2347"/>
      <c r="AY11" s="2347"/>
      <c r="AZ11" s="2347"/>
      <c r="BA11" s="2348"/>
      <c r="BB11" s="735"/>
      <c r="BC11" s="2358" t="str">
        <f>+CONCATENATE(+ZAKL_DATA!B7)</f>
        <v/>
      </c>
      <c r="BD11" s="2359"/>
      <c r="BE11" s="2359"/>
      <c r="BF11" s="2359"/>
      <c r="BG11" s="2360"/>
      <c r="BH11" s="651"/>
      <c r="BI11" s="666"/>
      <c r="BJ11" s="666"/>
      <c r="BK11" s="666"/>
      <c r="BL11" s="666"/>
      <c r="BM11" s="666"/>
      <c r="BN11" s="666"/>
      <c r="BO11" s="666"/>
      <c r="BP11" s="666"/>
      <c r="BQ11" s="666"/>
      <c r="BR11" s="666"/>
      <c r="BS11" s="667"/>
      <c r="BT11" s="667"/>
      <c r="BU11" s="667"/>
      <c r="BV11" s="667"/>
      <c r="BW11" s="667"/>
      <c r="BX11" s="667"/>
      <c r="BY11" s="667"/>
      <c r="BZ11" s="667"/>
      <c r="CA11" s="667"/>
      <c r="CB11" s="667"/>
      <c r="CC11" s="667"/>
      <c r="CD11" s="667"/>
      <c r="CE11" s="667"/>
      <c r="CF11" s="667"/>
      <c r="CG11" s="667"/>
      <c r="CH11" s="667"/>
      <c r="CI11" s="667"/>
      <c r="CJ11" s="667"/>
      <c r="CK11" s="667"/>
      <c r="CL11" s="667"/>
      <c r="CM11" s="667"/>
      <c r="CN11" s="667"/>
      <c r="CO11" s="667"/>
      <c r="CP11" s="667"/>
      <c r="CQ11" s="667"/>
      <c r="CR11" s="667"/>
      <c r="CS11" s="667"/>
      <c r="CT11" s="667"/>
      <c r="CU11" s="667"/>
      <c r="CV11" s="667"/>
      <c r="CW11" s="667"/>
      <c r="CX11" s="667"/>
      <c r="CY11" s="667"/>
      <c r="CZ11" s="667"/>
      <c r="DA11" s="667"/>
      <c r="DB11" s="667"/>
      <c r="DC11" s="667"/>
      <c r="DD11" s="667"/>
      <c r="DE11" s="667"/>
      <c r="DF11" s="667"/>
      <c r="DG11" s="667"/>
      <c r="DH11" s="667"/>
      <c r="DI11" s="667"/>
      <c r="DJ11" s="667"/>
      <c r="DK11" s="667"/>
      <c r="DL11" s="667"/>
      <c r="DM11" s="667"/>
      <c r="DN11" s="667"/>
      <c r="DO11" s="667"/>
      <c r="DP11" s="667"/>
      <c r="DQ11" s="667"/>
      <c r="DR11" s="667"/>
      <c r="DS11" s="667"/>
      <c r="DT11" s="667"/>
      <c r="DU11" s="667"/>
      <c r="DV11" s="667"/>
      <c r="DW11" s="667"/>
      <c r="DX11" s="667"/>
      <c r="DY11" s="667"/>
      <c r="DZ11" s="667"/>
      <c r="EA11" s="667"/>
      <c r="EB11" s="667"/>
      <c r="EC11" s="667"/>
    </row>
    <row r="12" spans="1:133" s="664" customFormat="1" ht="9.9499999999999993" customHeight="1">
      <c r="A12" s="2340" t="s">
        <v>247</v>
      </c>
      <c r="B12" s="2341"/>
      <c r="C12" s="2341"/>
      <c r="D12" s="2341"/>
      <c r="E12" s="2341"/>
      <c r="F12" s="2341"/>
      <c r="G12" s="2341"/>
      <c r="H12" s="2341"/>
      <c r="I12" s="2341"/>
      <c r="J12" s="2341"/>
      <c r="K12" s="2341"/>
      <c r="L12" s="2341"/>
      <c r="M12" s="2341"/>
      <c r="N12" s="2341"/>
      <c r="O12" s="2341"/>
      <c r="P12" s="2341"/>
      <c r="Q12" s="2341"/>
      <c r="R12" s="2341"/>
      <c r="S12" s="2341"/>
      <c r="T12" s="2341"/>
      <c r="U12" s="2341"/>
      <c r="V12" s="2341"/>
      <c r="W12" s="2341"/>
      <c r="X12" s="2341"/>
      <c r="Y12" s="2341"/>
      <c r="Z12" s="2341"/>
      <c r="AA12" s="2341"/>
      <c r="AB12" s="2341"/>
      <c r="AC12" s="2341"/>
      <c r="AD12" s="2341"/>
      <c r="AE12" s="2341"/>
      <c r="AF12" s="2341"/>
      <c r="AG12" s="2341"/>
      <c r="AH12" s="2341"/>
      <c r="AI12" s="2341"/>
      <c r="AJ12" s="2341"/>
      <c r="AK12" s="2341"/>
      <c r="AL12" s="2341" t="s">
        <v>3068</v>
      </c>
      <c r="AM12" s="2342"/>
      <c r="AN12" s="2342"/>
      <c r="AO12" s="2342"/>
      <c r="AP12" s="2342"/>
      <c r="AQ12" s="2342"/>
      <c r="AR12" s="2342"/>
      <c r="AS12" s="2342"/>
      <c r="AT12" s="2342"/>
      <c r="AU12" s="2342"/>
      <c r="AV12" s="736"/>
      <c r="AW12" s="2343" t="s">
        <v>3069</v>
      </c>
      <c r="AX12" s="2344"/>
      <c r="AY12" s="2344"/>
      <c r="AZ12" s="2344"/>
      <c r="BA12" s="2344"/>
      <c r="BB12" s="2344"/>
      <c r="BC12" s="2344"/>
      <c r="BD12" s="2344"/>
      <c r="BE12" s="2344"/>
      <c r="BF12" s="2344"/>
      <c r="BG12" s="2345"/>
      <c r="BH12" s="651"/>
      <c r="BI12" s="662"/>
      <c r="BJ12" s="662"/>
      <c r="BK12" s="662"/>
      <c r="BL12" s="662"/>
      <c r="BM12" s="662"/>
      <c r="BN12" s="662"/>
      <c r="BO12" s="662"/>
      <c r="BP12" s="662"/>
      <c r="BQ12" s="662"/>
      <c r="BR12" s="662"/>
      <c r="BS12" s="663"/>
      <c r="BT12" s="663"/>
      <c r="BU12" s="663"/>
      <c r="BV12" s="663"/>
      <c r="BW12" s="663"/>
      <c r="BX12" s="663"/>
      <c r="BY12" s="663"/>
      <c r="BZ12" s="663"/>
      <c r="CA12" s="663"/>
      <c r="CB12" s="663"/>
      <c r="CC12" s="663"/>
      <c r="CD12" s="663"/>
      <c r="CE12" s="663"/>
      <c r="CF12" s="663"/>
      <c r="CG12" s="663"/>
      <c r="CH12" s="663"/>
      <c r="CI12" s="663"/>
      <c r="CJ12" s="663"/>
      <c r="CK12" s="663"/>
      <c r="CL12" s="663"/>
      <c r="CM12" s="663"/>
      <c r="CN12" s="663"/>
      <c r="CO12" s="663"/>
      <c r="CP12" s="663"/>
      <c r="CQ12" s="663"/>
      <c r="CR12" s="663"/>
      <c r="CS12" s="663"/>
      <c r="CT12" s="663"/>
      <c r="CU12" s="663"/>
      <c r="CV12" s="663"/>
      <c r="CW12" s="663"/>
      <c r="CX12" s="663"/>
      <c r="CY12" s="663"/>
      <c r="CZ12" s="663"/>
      <c r="DA12" s="663"/>
      <c r="DB12" s="663"/>
      <c r="DC12" s="663"/>
      <c r="DD12" s="663"/>
      <c r="DE12" s="663"/>
      <c r="DF12" s="663"/>
      <c r="DG12" s="663"/>
      <c r="DH12" s="663"/>
      <c r="DI12" s="663"/>
      <c r="DJ12" s="663"/>
      <c r="DK12" s="663"/>
      <c r="DL12" s="663"/>
      <c r="DM12" s="663"/>
      <c r="DN12" s="663"/>
      <c r="DO12" s="663"/>
      <c r="DP12" s="663"/>
      <c r="DQ12" s="663"/>
      <c r="DR12" s="663"/>
      <c r="DS12" s="663"/>
      <c r="DT12" s="663"/>
      <c r="DU12" s="663"/>
      <c r="DV12" s="663"/>
      <c r="DW12" s="663"/>
      <c r="DX12" s="663"/>
      <c r="DY12" s="663"/>
      <c r="DZ12" s="663"/>
      <c r="EA12" s="663"/>
      <c r="EB12" s="663"/>
      <c r="EC12" s="663"/>
    </row>
    <row r="13" spans="1:133" s="536" customFormat="1" ht="24" customHeight="1">
      <c r="A13" s="2346" t="str">
        <f>+CONCATENATE(ZAKL_DATA!B16)</f>
        <v/>
      </c>
      <c r="B13" s="2347"/>
      <c r="C13" s="2347"/>
      <c r="D13" s="2347"/>
      <c r="E13" s="2347"/>
      <c r="F13" s="2347"/>
      <c r="G13" s="2347"/>
      <c r="H13" s="2347"/>
      <c r="I13" s="2347"/>
      <c r="J13" s="2347"/>
      <c r="K13" s="2347"/>
      <c r="L13" s="2347"/>
      <c r="M13" s="2347"/>
      <c r="N13" s="2347"/>
      <c r="O13" s="2347"/>
      <c r="P13" s="2347"/>
      <c r="Q13" s="2347"/>
      <c r="R13" s="2347"/>
      <c r="S13" s="2347"/>
      <c r="T13" s="2347"/>
      <c r="U13" s="2347"/>
      <c r="V13" s="2347"/>
      <c r="W13" s="2347"/>
      <c r="X13" s="2347"/>
      <c r="Y13" s="2347"/>
      <c r="Z13" s="2347"/>
      <c r="AA13" s="2347"/>
      <c r="AB13" s="2347"/>
      <c r="AC13" s="2347"/>
      <c r="AD13" s="2347"/>
      <c r="AE13" s="2347"/>
      <c r="AF13" s="2347"/>
      <c r="AG13" s="2347"/>
      <c r="AH13" s="2347"/>
      <c r="AI13" s="2347"/>
      <c r="AJ13" s="2348"/>
      <c r="AK13" s="735"/>
      <c r="AL13" s="2346" t="str">
        <f>+CONCATENATE(ZAKL_DATA!B17)</f>
        <v/>
      </c>
      <c r="AM13" s="2347"/>
      <c r="AN13" s="2347"/>
      <c r="AO13" s="2347"/>
      <c r="AP13" s="2347"/>
      <c r="AQ13" s="2347"/>
      <c r="AR13" s="2347"/>
      <c r="AS13" s="2347"/>
      <c r="AT13" s="2347"/>
      <c r="AU13" s="2348"/>
      <c r="AV13" s="735"/>
      <c r="AW13" s="2349" t="str">
        <f>+CONCATENATE('DAP1'!A9)</f>
        <v/>
      </c>
      <c r="AX13" s="2350"/>
      <c r="AY13" s="2350"/>
      <c r="AZ13" s="2350"/>
      <c r="BA13" s="2350"/>
      <c r="BB13" s="2350"/>
      <c r="BC13" s="2351"/>
      <c r="BD13" s="2351"/>
      <c r="BE13" s="2351"/>
      <c r="BF13" s="2351"/>
      <c r="BG13" s="2352"/>
      <c r="BH13" s="651"/>
      <c r="BI13" s="666"/>
      <c r="BJ13" s="666"/>
      <c r="BK13" s="666"/>
      <c r="BL13" s="666"/>
      <c r="BM13" s="666"/>
      <c r="BN13" s="666"/>
      <c r="BO13" s="666"/>
      <c r="BP13" s="666"/>
      <c r="BQ13" s="666"/>
      <c r="BR13" s="666"/>
      <c r="BS13" s="666"/>
      <c r="BT13" s="666"/>
      <c r="BU13" s="666"/>
      <c r="BV13" s="666"/>
      <c r="BW13" s="666"/>
      <c r="BX13" s="666"/>
      <c r="BY13" s="666"/>
      <c r="BZ13" s="666"/>
      <c r="CA13" s="666"/>
      <c r="CB13" s="666"/>
      <c r="CC13" s="666"/>
      <c r="CD13" s="666"/>
      <c r="CE13" s="666"/>
      <c r="CF13" s="666"/>
      <c r="CG13" s="666"/>
      <c r="CH13" s="666"/>
      <c r="CI13" s="666"/>
      <c r="CJ13" s="666"/>
      <c r="CK13" s="666"/>
      <c r="CL13" s="666"/>
      <c r="CM13" s="666"/>
      <c r="CN13" s="666"/>
      <c r="CO13" s="666"/>
      <c r="CP13" s="666"/>
      <c r="CQ13" s="666"/>
      <c r="CR13" s="666"/>
      <c r="CS13" s="666"/>
      <c r="CT13" s="666"/>
      <c r="CU13" s="666"/>
      <c r="CV13" s="666"/>
      <c r="CW13" s="666"/>
      <c r="CX13" s="666"/>
      <c r="CY13" s="666"/>
      <c r="CZ13" s="666"/>
      <c r="DA13" s="666"/>
      <c r="DB13" s="666"/>
      <c r="DC13" s="666"/>
      <c r="DD13" s="666"/>
      <c r="DE13" s="666"/>
      <c r="DF13" s="666"/>
      <c r="DG13" s="666"/>
      <c r="DH13" s="666"/>
      <c r="DI13" s="666"/>
      <c r="DJ13" s="666"/>
      <c r="DK13" s="666"/>
      <c r="DL13" s="666"/>
      <c r="DM13" s="666"/>
      <c r="DN13" s="666"/>
      <c r="DO13" s="666"/>
      <c r="DP13" s="666"/>
      <c r="DQ13" s="666"/>
      <c r="DR13" s="666"/>
      <c r="DS13" s="666"/>
      <c r="DT13" s="666"/>
      <c r="DU13" s="666"/>
      <c r="DV13" s="666"/>
      <c r="DW13" s="666"/>
      <c r="DX13" s="666"/>
      <c r="DY13" s="666"/>
      <c r="DZ13" s="666"/>
      <c r="EA13" s="666"/>
      <c r="EB13" s="666"/>
      <c r="EC13" s="666"/>
    </row>
    <row r="14" spans="1:133" s="664" customFormat="1" ht="12.6" customHeight="1">
      <c r="A14" s="2361" t="s">
        <v>3070</v>
      </c>
      <c r="B14" s="2342"/>
      <c r="C14" s="2342"/>
      <c r="D14" s="2342"/>
      <c r="E14" s="2342"/>
      <c r="F14" s="2342"/>
      <c r="G14" s="2342"/>
      <c r="H14" s="2342"/>
      <c r="I14" s="737"/>
      <c r="J14" s="2368" t="s">
        <v>248</v>
      </c>
      <c r="K14" s="2342"/>
      <c r="L14" s="2342"/>
      <c r="M14" s="2342"/>
      <c r="N14" s="2342"/>
      <c r="O14" s="2342"/>
      <c r="P14" s="2342"/>
      <c r="Q14" s="2342"/>
      <c r="R14" s="2342"/>
      <c r="S14" s="2342"/>
      <c r="T14" s="2342"/>
      <c r="U14" s="2342"/>
      <c r="V14" s="2342"/>
      <c r="W14" s="2342"/>
      <c r="X14" s="2342"/>
      <c r="Y14" s="2342"/>
      <c r="Z14" s="2342"/>
      <c r="AA14" s="2342"/>
      <c r="AB14" s="2342"/>
      <c r="AC14" s="2342"/>
      <c r="AD14" s="2342"/>
      <c r="AE14" s="2342"/>
      <c r="AF14" s="2342"/>
      <c r="AG14" s="2342"/>
      <c r="AH14" s="2342"/>
      <c r="AI14" s="2342"/>
      <c r="AJ14" s="2342"/>
      <c r="AK14" s="2342"/>
      <c r="AL14" s="2342"/>
      <c r="AM14" s="2342"/>
      <c r="AN14" s="2342"/>
      <c r="AO14" s="2342"/>
      <c r="AP14" s="2342"/>
      <c r="AQ14" s="2342"/>
      <c r="AR14" s="2342"/>
      <c r="AS14" s="2342"/>
      <c r="AT14" s="2342"/>
      <c r="AU14" s="2342"/>
      <c r="AV14" s="737"/>
      <c r="AW14" s="2370" t="s">
        <v>3071</v>
      </c>
      <c r="AX14" s="2371"/>
      <c r="AY14" s="2371"/>
      <c r="AZ14" s="2371"/>
      <c r="BA14" s="2371"/>
      <c r="BB14" s="2371"/>
      <c r="BC14" s="2371"/>
      <c r="BD14" s="2371"/>
      <c r="BE14" s="2371"/>
      <c r="BF14" s="2371"/>
      <c r="BG14" s="2372"/>
      <c r="BH14" s="651"/>
      <c r="BI14" s="666"/>
      <c r="BJ14" s="666"/>
      <c r="BK14" s="666"/>
      <c r="BL14" s="666"/>
      <c r="BM14" s="666"/>
      <c r="BN14" s="666"/>
      <c r="BO14" s="666"/>
      <c r="BP14" s="666"/>
      <c r="BQ14" s="666"/>
      <c r="BR14" s="666"/>
      <c r="BS14" s="666"/>
      <c r="BT14" s="666"/>
      <c r="BU14" s="666"/>
      <c r="BV14" s="666"/>
      <c r="BW14" s="666"/>
      <c r="BX14" s="666"/>
      <c r="BY14" s="666"/>
      <c r="BZ14" s="666"/>
      <c r="CA14" s="666"/>
      <c r="CB14" s="666"/>
      <c r="CC14" s="666"/>
      <c r="CD14" s="666"/>
      <c r="CE14" s="666"/>
      <c r="CF14" s="666"/>
      <c r="CG14" s="666"/>
      <c r="CH14" s="666"/>
      <c r="CI14" s="666"/>
      <c r="CJ14" s="666"/>
      <c r="CK14" s="666"/>
      <c r="CL14" s="666"/>
      <c r="CM14" s="666"/>
      <c r="CN14" s="666"/>
      <c r="CO14" s="666"/>
      <c r="CP14" s="666"/>
      <c r="CQ14" s="666"/>
      <c r="CR14" s="666"/>
      <c r="CS14" s="666"/>
      <c r="CT14" s="666"/>
      <c r="CU14" s="666"/>
      <c r="CV14" s="666"/>
      <c r="CW14" s="666"/>
      <c r="CX14" s="666"/>
      <c r="CY14" s="666"/>
      <c r="CZ14" s="666"/>
      <c r="DA14" s="666"/>
      <c r="DB14" s="666"/>
      <c r="DC14" s="666"/>
      <c r="DD14" s="666"/>
      <c r="DE14" s="666"/>
      <c r="DF14" s="666"/>
      <c r="DG14" s="666"/>
      <c r="DH14" s="666"/>
      <c r="DI14" s="666"/>
      <c r="DJ14" s="666"/>
      <c r="DK14" s="666"/>
      <c r="DL14" s="666"/>
      <c r="DM14" s="666"/>
      <c r="DN14" s="666"/>
      <c r="DO14" s="666"/>
      <c r="DP14" s="666"/>
      <c r="DQ14" s="666"/>
      <c r="DR14" s="666"/>
      <c r="DS14" s="666"/>
      <c r="DT14" s="666"/>
      <c r="DU14" s="666"/>
      <c r="DV14" s="666"/>
      <c r="DW14" s="666"/>
      <c r="DX14" s="666"/>
      <c r="DY14" s="666"/>
      <c r="DZ14" s="666"/>
      <c r="EA14" s="666"/>
      <c r="EB14" s="666"/>
      <c r="EC14" s="666"/>
    </row>
    <row r="15" spans="1:133" s="536" customFormat="1" ht="24" customHeight="1">
      <c r="A15" s="2373" t="str">
        <f>CONCATENATE(+ZAKL_DATA!B19)</f>
        <v/>
      </c>
      <c r="B15" s="2374"/>
      <c r="C15" s="2374"/>
      <c r="D15" s="2374"/>
      <c r="E15" s="2374"/>
      <c r="F15" s="2374"/>
      <c r="G15" s="2374"/>
      <c r="H15" s="2375"/>
      <c r="I15" s="735"/>
      <c r="J15" s="2376" t="str">
        <f>+CONCATENATE(ZAKL_DATA!B18)</f>
        <v/>
      </c>
      <c r="K15" s="2365"/>
      <c r="L15" s="2365"/>
      <c r="M15" s="2365"/>
      <c r="N15" s="2365"/>
      <c r="O15" s="2365"/>
      <c r="P15" s="2365"/>
      <c r="Q15" s="2365"/>
      <c r="R15" s="2365"/>
      <c r="S15" s="2365"/>
      <c r="T15" s="2365"/>
      <c r="U15" s="2365"/>
      <c r="V15" s="2365"/>
      <c r="W15" s="2365"/>
      <c r="X15" s="2365"/>
      <c r="Y15" s="2365"/>
      <c r="Z15" s="2365"/>
      <c r="AA15" s="2365"/>
      <c r="AB15" s="2365"/>
      <c r="AC15" s="2365"/>
      <c r="AD15" s="2365"/>
      <c r="AE15" s="2365"/>
      <c r="AF15" s="2365"/>
      <c r="AG15" s="2365"/>
      <c r="AH15" s="2365"/>
      <c r="AI15" s="2365"/>
      <c r="AJ15" s="2365"/>
      <c r="AK15" s="2365"/>
      <c r="AL15" s="2365"/>
      <c r="AM15" s="2365"/>
      <c r="AN15" s="2365"/>
      <c r="AO15" s="2365"/>
      <c r="AP15" s="2365"/>
      <c r="AQ15" s="2365"/>
      <c r="AR15" s="2365"/>
      <c r="AS15" s="2365"/>
      <c r="AT15" s="2365"/>
      <c r="AU15" s="2366"/>
      <c r="AV15" s="735"/>
      <c r="AW15" s="2346" t="str">
        <f>+CONCATENATE(+ZAKL_DATA!B10)</f>
        <v/>
      </c>
      <c r="AX15" s="2377"/>
      <c r="AY15" s="2377"/>
      <c r="AZ15" s="2377"/>
      <c r="BA15" s="2377"/>
      <c r="BB15" s="2377"/>
      <c r="BC15" s="2377"/>
      <c r="BD15" s="2377"/>
      <c r="BE15" s="2377"/>
      <c r="BF15" s="2377"/>
      <c r="BG15" s="2378"/>
      <c r="BH15" s="651"/>
      <c r="BI15" s="666"/>
      <c r="BJ15" s="666"/>
      <c r="BK15" s="666"/>
      <c r="BL15" s="666"/>
      <c r="BM15" s="666"/>
      <c r="BN15" s="666"/>
      <c r="BO15" s="666"/>
      <c r="BP15" s="666"/>
      <c r="BQ15" s="666"/>
      <c r="BR15" s="666"/>
      <c r="BS15" s="666"/>
      <c r="BT15" s="666"/>
      <c r="BU15" s="666"/>
      <c r="BV15" s="666"/>
      <c r="BW15" s="666"/>
      <c r="BX15" s="666"/>
      <c r="BY15" s="666"/>
      <c r="BZ15" s="666"/>
      <c r="CA15" s="666"/>
      <c r="CB15" s="666"/>
      <c r="CC15" s="666"/>
      <c r="CD15" s="666"/>
      <c r="CE15" s="666"/>
      <c r="CF15" s="666"/>
      <c r="CG15" s="666"/>
      <c r="CH15" s="666"/>
      <c r="CI15" s="666"/>
      <c r="CJ15" s="666"/>
      <c r="CK15" s="666"/>
      <c r="CL15" s="666"/>
      <c r="CM15" s="666"/>
      <c r="CN15" s="666"/>
      <c r="CO15" s="666"/>
      <c r="CP15" s="666"/>
      <c r="CQ15" s="666"/>
      <c r="CR15" s="666"/>
      <c r="CS15" s="666"/>
      <c r="CT15" s="666"/>
      <c r="CU15" s="666"/>
      <c r="CV15" s="666"/>
      <c r="CW15" s="666"/>
      <c r="CX15" s="666"/>
      <c r="CY15" s="666"/>
      <c r="CZ15" s="666"/>
      <c r="DA15" s="666"/>
      <c r="DB15" s="666"/>
      <c r="DC15" s="666"/>
      <c r="DD15" s="666"/>
      <c r="DE15" s="666"/>
      <c r="DF15" s="666"/>
      <c r="DG15" s="666"/>
      <c r="DH15" s="666"/>
      <c r="DI15" s="666"/>
      <c r="DJ15" s="666"/>
      <c r="DK15" s="666"/>
      <c r="DL15" s="666"/>
      <c r="DM15" s="666"/>
      <c r="DN15" s="666"/>
      <c r="DO15" s="666"/>
      <c r="DP15" s="666"/>
      <c r="DQ15" s="666"/>
      <c r="DR15" s="666"/>
      <c r="DS15" s="666"/>
      <c r="DT15" s="666"/>
      <c r="DU15" s="666"/>
      <c r="DV15" s="666"/>
      <c r="DW15" s="666"/>
      <c r="DX15" s="666"/>
      <c r="DY15" s="666"/>
      <c r="DZ15" s="666"/>
      <c r="EA15" s="666"/>
      <c r="EB15" s="666"/>
      <c r="EC15" s="666"/>
    </row>
    <row r="16" spans="1:133" s="664" customFormat="1" ht="9.9499999999999993" customHeight="1">
      <c r="A16" s="2361" t="s">
        <v>3072</v>
      </c>
      <c r="B16" s="2342"/>
      <c r="C16" s="2342"/>
      <c r="D16" s="2342"/>
      <c r="E16" s="2342"/>
      <c r="F16" s="2342"/>
      <c r="G16" s="2342"/>
      <c r="H16" s="2342"/>
      <c r="I16" s="2342"/>
      <c r="J16" s="2342"/>
      <c r="K16" s="2342"/>
      <c r="L16" s="2342"/>
      <c r="M16" s="2342"/>
      <c r="N16" s="2342"/>
      <c r="O16" s="2342"/>
      <c r="P16" s="2342"/>
      <c r="Q16" s="2342"/>
      <c r="R16" s="2342"/>
      <c r="S16" s="2342"/>
      <c r="T16" s="2342"/>
      <c r="U16" s="2342"/>
      <c r="V16" s="2342"/>
      <c r="W16" s="2342"/>
      <c r="X16" s="2342"/>
      <c r="Y16" s="2342"/>
      <c r="Z16" s="2342"/>
      <c r="AA16" s="2342"/>
      <c r="AB16" s="2342"/>
      <c r="AC16" s="2342"/>
      <c r="AD16" s="2342"/>
      <c r="AE16" s="2342"/>
      <c r="AF16" s="2342"/>
      <c r="AG16" s="2342"/>
      <c r="AH16" s="2342"/>
      <c r="AI16" s="2342"/>
      <c r="AJ16" s="2342"/>
      <c r="AK16" s="2342"/>
      <c r="AL16" s="2342"/>
      <c r="AM16" s="2342"/>
      <c r="AN16" s="2342"/>
      <c r="AO16" s="2342"/>
      <c r="AP16" s="2342"/>
      <c r="AQ16" s="2342"/>
      <c r="AR16" s="2342"/>
      <c r="AS16" s="2342"/>
      <c r="AT16" s="2342"/>
      <c r="AU16" s="2342"/>
      <c r="AV16" s="2342"/>
      <c r="AW16" s="2362" t="s">
        <v>3073</v>
      </c>
      <c r="AX16" s="2362"/>
      <c r="AY16" s="2362"/>
      <c r="AZ16" s="2362"/>
      <c r="BA16" s="2362"/>
      <c r="BB16" s="2362"/>
      <c r="BC16" s="2362"/>
      <c r="BD16" s="2362"/>
      <c r="BE16" s="2362"/>
      <c r="BF16" s="2362"/>
      <c r="BG16" s="2363"/>
      <c r="BH16" s="651"/>
      <c r="BI16" s="666"/>
      <c r="BJ16" s="666"/>
      <c r="BK16" s="666"/>
      <c r="BL16" s="666"/>
      <c r="BM16" s="666"/>
      <c r="BN16" s="666"/>
      <c r="BO16" s="666"/>
      <c r="BP16" s="666"/>
      <c r="BQ16" s="666"/>
      <c r="BR16" s="666"/>
      <c r="BS16" s="666"/>
      <c r="BT16" s="666"/>
      <c r="BU16" s="666"/>
      <c r="BV16" s="666"/>
      <c r="BW16" s="666"/>
      <c r="BX16" s="666"/>
      <c r="BY16" s="666"/>
      <c r="BZ16" s="666"/>
      <c r="CA16" s="666"/>
      <c r="CB16" s="666"/>
      <c r="CC16" s="666"/>
      <c r="CD16" s="666"/>
      <c r="CE16" s="666"/>
      <c r="CF16" s="666"/>
      <c r="CG16" s="666"/>
      <c r="CH16" s="666"/>
      <c r="CI16" s="666"/>
      <c r="CJ16" s="666"/>
      <c r="CK16" s="666"/>
      <c r="CL16" s="666"/>
      <c r="CM16" s="666"/>
      <c r="CN16" s="666"/>
      <c r="CO16" s="666"/>
      <c r="CP16" s="666"/>
      <c r="CQ16" s="666"/>
      <c r="CR16" s="666"/>
      <c r="CS16" s="666"/>
      <c r="CT16" s="666"/>
      <c r="CU16" s="666"/>
      <c r="CV16" s="666"/>
      <c r="CW16" s="666"/>
      <c r="CX16" s="666"/>
      <c r="CY16" s="666"/>
      <c r="CZ16" s="666"/>
      <c r="DA16" s="666"/>
      <c r="DB16" s="666"/>
      <c r="DC16" s="666"/>
      <c r="DD16" s="666"/>
      <c r="DE16" s="666"/>
      <c r="DF16" s="666"/>
      <c r="DG16" s="666"/>
      <c r="DH16" s="666"/>
      <c r="DI16" s="666"/>
      <c r="DJ16" s="666"/>
      <c r="DK16" s="666"/>
      <c r="DL16" s="666"/>
      <c r="DM16" s="666"/>
      <c r="DN16" s="666"/>
      <c r="DO16" s="666"/>
      <c r="DP16" s="666"/>
      <c r="DQ16" s="666"/>
      <c r="DR16" s="666"/>
      <c r="DS16" s="666"/>
      <c r="DT16" s="666"/>
      <c r="DU16" s="666"/>
      <c r="DV16" s="666"/>
      <c r="DW16" s="666"/>
      <c r="DX16" s="666"/>
      <c r="DY16" s="666"/>
      <c r="DZ16" s="666"/>
      <c r="EA16" s="666"/>
      <c r="EB16" s="666"/>
      <c r="EC16" s="666"/>
    </row>
    <row r="17" spans="1:133" s="536" customFormat="1" ht="24" customHeight="1">
      <c r="A17" s="2364" t="str">
        <f>+CONCATENATE(ZAKL_DATA!B32," / ",ZAKL_DATA!B33)</f>
        <v xml:space="preserve"> / </v>
      </c>
      <c r="B17" s="2365"/>
      <c r="C17" s="2365"/>
      <c r="D17" s="2365"/>
      <c r="E17" s="2365"/>
      <c r="F17" s="2365"/>
      <c r="G17" s="2365"/>
      <c r="H17" s="2365"/>
      <c r="I17" s="2365"/>
      <c r="J17" s="2365"/>
      <c r="K17" s="2365"/>
      <c r="L17" s="2365"/>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c r="AH17" s="2365"/>
      <c r="AI17" s="2366"/>
      <c r="AJ17" s="2367"/>
      <c r="AK17" s="2342"/>
      <c r="AL17" s="2342"/>
      <c r="AM17" s="2342"/>
      <c r="AN17" s="2342"/>
      <c r="AO17" s="2342"/>
      <c r="AP17" s="2342"/>
      <c r="AQ17" s="2342"/>
      <c r="AR17" s="2342"/>
      <c r="AS17" s="2342"/>
      <c r="AT17" s="2342"/>
      <c r="AU17" s="2342"/>
      <c r="AV17" s="2342"/>
      <c r="AW17" s="2358" t="str">
        <f>++CONCATENATE(ZAKL_DATA!B25)</f>
        <v/>
      </c>
      <c r="AX17" s="2359"/>
      <c r="AY17" s="2359"/>
      <c r="AZ17" s="2359"/>
      <c r="BA17" s="2359"/>
      <c r="BB17" s="2359"/>
      <c r="BC17" s="2359"/>
      <c r="BD17" s="2359"/>
      <c r="BE17" s="2359"/>
      <c r="BF17" s="2359"/>
      <c r="BG17" s="2360"/>
      <c r="BH17" s="651"/>
      <c r="BI17" s="666"/>
      <c r="BJ17" s="666"/>
      <c r="BK17" s="666"/>
      <c r="BL17" s="666"/>
      <c r="BM17" s="666"/>
      <c r="BN17" s="666"/>
      <c r="BO17" s="666"/>
      <c r="BP17" s="666"/>
      <c r="BQ17" s="666"/>
      <c r="BR17" s="666"/>
      <c r="BS17" s="666"/>
      <c r="BT17" s="666"/>
      <c r="BU17" s="666"/>
      <c r="BV17" s="666"/>
      <c r="BW17" s="666"/>
      <c r="BX17" s="666"/>
      <c r="BY17" s="666"/>
      <c r="BZ17" s="666"/>
      <c r="CA17" s="666"/>
      <c r="CB17" s="666"/>
      <c r="CC17" s="666"/>
      <c r="CD17" s="666"/>
      <c r="CE17" s="666"/>
      <c r="CF17" s="666"/>
      <c r="CG17" s="666"/>
      <c r="CH17" s="666"/>
      <c r="CI17" s="666"/>
      <c r="CJ17" s="666"/>
      <c r="CK17" s="666"/>
      <c r="CL17" s="666"/>
      <c r="CM17" s="666"/>
      <c r="CN17" s="666"/>
      <c r="CO17" s="666"/>
      <c r="CP17" s="666"/>
      <c r="CQ17" s="666"/>
      <c r="CR17" s="666"/>
      <c r="CS17" s="666"/>
      <c r="CT17" s="666"/>
      <c r="CU17" s="666"/>
      <c r="CV17" s="666"/>
      <c r="CW17" s="666"/>
      <c r="CX17" s="666"/>
      <c r="CY17" s="666"/>
      <c r="CZ17" s="666"/>
      <c r="DA17" s="666"/>
      <c r="DB17" s="666"/>
      <c r="DC17" s="666"/>
      <c r="DD17" s="666"/>
      <c r="DE17" s="666"/>
      <c r="DF17" s="666"/>
      <c r="DG17" s="666"/>
      <c r="DH17" s="666"/>
      <c r="DI17" s="666"/>
      <c r="DJ17" s="666"/>
      <c r="DK17" s="666"/>
      <c r="DL17" s="666"/>
      <c r="DM17" s="666"/>
      <c r="DN17" s="666"/>
      <c r="DO17" s="666"/>
      <c r="DP17" s="666"/>
      <c r="DQ17" s="666"/>
      <c r="DR17" s="666"/>
      <c r="DS17" s="666"/>
      <c r="DT17" s="666"/>
      <c r="DU17" s="666"/>
      <c r="DV17" s="666"/>
      <c r="DW17" s="666"/>
      <c r="DX17" s="666"/>
      <c r="DY17" s="666"/>
      <c r="DZ17" s="666"/>
      <c r="EA17" s="666"/>
      <c r="EB17" s="666"/>
      <c r="EC17" s="666"/>
    </row>
    <row r="18" spans="1:133" s="664" customFormat="1" ht="9.9499999999999993" customHeight="1">
      <c r="A18" s="2361" t="s">
        <v>3074</v>
      </c>
      <c r="B18" s="2368"/>
      <c r="C18" s="2368"/>
      <c r="D18" s="2368"/>
      <c r="E18" s="2368"/>
      <c r="F18" s="2368"/>
      <c r="G18" s="2368"/>
      <c r="H18" s="2368"/>
      <c r="I18" s="2368"/>
      <c r="J18" s="2368"/>
      <c r="K18" s="2368"/>
      <c r="L18" s="2368"/>
      <c r="M18" s="2368"/>
      <c r="N18" s="2368"/>
      <c r="O18" s="2368"/>
      <c r="P18" s="2368"/>
      <c r="Q18" s="2368"/>
      <c r="R18" s="2368"/>
      <c r="S18" s="2368"/>
      <c r="T18" s="2368"/>
      <c r="U18" s="2368"/>
      <c r="V18" s="2368"/>
      <c r="W18" s="2368"/>
      <c r="X18" s="2368"/>
      <c r="Y18" s="2368"/>
      <c r="Z18" s="2368"/>
      <c r="AA18" s="2368"/>
      <c r="AB18" s="2368"/>
      <c r="AC18" s="2368"/>
      <c r="AD18" s="2368"/>
      <c r="AE18" s="2368"/>
      <c r="AF18" s="2368"/>
      <c r="AG18" s="2368"/>
      <c r="AH18" s="2368"/>
      <c r="AI18" s="2368"/>
      <c r="AJ18" s="2368"/>
      <c r="AK18" s="2368"/>
      <c r="AL18" s="2368"/>
      <c r="AM18" s="2368"/>
      <c r="AN18" s="2368"/>
      <c r="AO18" s="2368"/>
      <c r="AP18" s="2368"/>
      <c r="AQ18" s="2368"/>
      <c r="AR18" s="2368"/>
      <c r="AS18" s="2368"/>
      <c r="AT18" s="2368"/>
      <c r="AU18" s="2368"/>
      <c r="AV18" s="2368"/>
      <c r="AW18" s="2368"/>
      <c r="AX18" s="2368"/>
      <c r="AY18" s="2368"/>
      <c r="AZ18" s="2368"/>
      <c r="BA18" s="2368"/>
      <c r="BB18" s="2368"/>
      <c r="BC18" s="2368"/>
      <c r="BD18" s="2368"/>
      <c r="BE18" s="2368"/>
      <c r="BF18" s="2368"/>
      <c r="BG18" s="2369"/>
      <c r="BH18" s="651"/>
      <c r="BI18" s="666"/>
      <c r="BJ18" s="666"/>
      <c r="BK18" s="666"/>
      <c r="BL18" s="666"/>
      <c r="BM18" s="666"/>
      <c r="BN18" s="666"/>
      <c r="BO18" s="666"/>
      <c r="BP18" s="666"/>
      <c r="BQ18" s="666"/>
      <c r="BR18" s="666"/>
      <c r="BS18" s="666"/>
      <c r="BT18" s="666"/>
      <c r="BU18" s="666"/>
      <c r="BV18" s="666"/>
      <c r="BW18" s="666"/>
      <c r="BX18" s="666"/>
      <c r="BY18" s="666"/>
      <c r="BZ18" s="666"/>
      <c r="CA18" s="666"/>
      <c r="CB18" s="666"/>
      <c r="CC18" s="666"/>
      <c r="CD18" s="666"/>
      <c r="CE18" s="666"/>
      <c r="CF18" s="666"/>
      <c r="CG18" s="666"/>
      <c r="CH18" s="666"/>
      <c r="CI18" s="666"/>
      <c r="CJ18" s="666"/>
      <c r="CK18" s="666"/>
      <c r="CL18" s="666"/>
      <c r="CM18" s="666"/>
      <c r="CN18" s="666"/>
      <c r="CO18" s="666"/>
      <c r="CP18" s="666"/>
      <c r="CQ18" s="666"/>
      <c r="CR18" s="666"/>
      <c r="CS18" s="666"/>
      <c r="CT18" s="666"/>
      <c r="CU18" s="666"/>
      <c r="CV18" s="666"/>
      <c r="CW18" s="666"/>
      <c r="CX18" s="666"/>
      <c r="CY18" s="666"/>
      <c r="CZ18" s="666"/>
      <c r="DA18" s="666"/>
      <c r="DB18" s="666"/>
      <c r="DC18" s="666"/>
      <c r="DD18" s="666"/>
      <c r="DE18" s="666"/>
      <c r="DF18" s="666"/>
      <c r="DG18" s="666"/>
      <c r="DH18" s="666"/>
      <c r="DI18" s="666"/>
      <c r="DJ18" s="666"/>
      <c r="DK18" s="666"/>
      <c r="DL18" s="666"/>
      <c r="DM18" s="666"/>
      <c r="DN18" s="666"/>
      <c r="DO18" s="666"/>
      <c r="DP18" s="666"/>
      <c r="DQ18" s="666"/>
      <c r="DR18" s="666"/>
      <c r="DS18" s="666"/>
      <c r="DT18" s="666"/>
      <c r="DU18" s="666"/>
      <c r="DV18" s="666"/>
      <c r="DW18" s="666"/>
      <c r="DX18" s="666"/>
      <c r="DY18" s="666"/>
      <c r="DZ18" s="666"/>
      <c r="EA18" s="666"/>
      <c r="EB18" s="666"/>
      <c r="EC18" s="666"/>
    </row>
    <row r="19" spans="1:133" s="536" customFormat="1" ht="24" customHeight="1">
      <c r="A19" s="2379" t="str">
        <f>+CONCATENATE(ZAKL_DATA!B27)</f>
        <v/>
      </c>
      <c r="B19" s="2380"/>
      <c r="C19" s="2359"/>
      <c r="D19" s="2359"/>
      <c r="E19" s="2359"/>
      <c r="F19" s="2359"/>
      <c r="G19" s="2359"/>
      <c r="H19" s="2359"/>
      <c r="I19" s="2359"/>
      <c r="J19" s="2359"/>
      <c r="K19" s="2359"/>
      <c r="L19" s="2359"/>
      <c r="M19" s="2359"/>
      <c r="N19" s="2359"/>
      <c r="O19" s="2359"/>
      <c r="P19" s="2359"/>
      <c r="Q19" s="2359"/>
      <c r="R19" s="2359"/>
      <c r="S19" s="2359"/>
      <c r="T19" s="2359"/>
      <c r="U19" s="2359"/>
      <c r="V19" s="2359"/>
      <c r="W19" s="2359"/>
      <c r="X19" s="2359"/>
      <c r="Y19" s="2359"/>
      <c r="Z19" s="2359"/>
      <c r="AA19" s="2359"/>
      <c r="AB19" s="2359"/>
      <c r="AC19" s="2359"/>
      <c r="AD19" s="2359"/>
      <c r="AE19" s="2359"/>
      <c r="AF19" s="2359"/>
      <c r="AG19" s="2359"/>
      <c r="AH19" s="2359"/>
      <c r="AI19" s="2359"/>
      <c r="AJ19" s="2359"/>
      <c r="AK19" s="2359"/>
      <c r="AL19" s="2359"/>
      <c r="AM19" s="2359"/>
      <c r="AN19" s="2359"/>
      <c r="AO19" s="2359"/>
      <c r="AP19" s="2359"/>
      <c r="AQ19" s="2359"/>
      <c r="AR19" s="2359"/>
      <c r="AS19" s="2359"/>
      <c r="AT19" s="2359"/>
      <c r="AU19" s="2359"/>
      <c r="AV19" s="2359"/>
      <c r="AW19" s="2359"/>
      <c r="AX19" s="2359"/>
      <c r="AY19" s="2359"/>
      <c r="AZ19" s="2359"/>
      <c r="BA19" s="2359"/>
      <c r="BB19" s="2359"/>
      <c r="BC19" s="2359"/>
      <c r="BD19" s="2359"/>
      <c r="BE19" s="2359"/>
      <c r="BF19" s="2359"/>
      <c r="BG19" s="2360"/>
      <c r="BH19" s="651"/>
      <c r="BI19" s="666"/>
      <c r="BJ19" s="666"/>
      <c r="BK19" s="666"/>
      <c r="BL19" s="666"/>
      <c r="BM19" s="666"/>
      <c r="BN19" s="666"/>
      <c r="BO19" s="666"/>
      <c r="BP19" s="666"/>
      <c r="BQ19" s="666"/>
      <c r="BR19" s="666"/>
      <c r="BS19" s="667"/>
      <c r="BT19" s="667"/>
      <c r="BU19" s="667"/>
      <c r="BV19" s="667"/>
      <c r="BW19" s="667"/>
      <c r="BX19" s="667"/>
      <c r="BY19" s="667"/>
      <c r="BZ19" s="667"/>
      <c r="CA19" s="667"/>
      <c r="CB19" s="667"/>
      <c r="CC19" s="667"/>
      <c r="CD19" s="667"/>
      <c r="CE19" s="667"/>
      <c r="CF19" s="667"/>
      <c r="CG19" s="667"/>
      <c r="CH19" s="667"/>
      <c r="CI19" s="667"/>
      <c r="CJ19" s="667"/>
      <c r="CK19" s="667"/>
      <c r="CL19" s="667"/>
      <c r="CM19" s="667"/>
      <c r="CN19" s="667"/>
      <c r="CO19" s="667"/>
      <c r="CP19" s="667"/>
      <c r="CQ19" s="667"/>
      <c r="CR19" s="667"/>
      <c r="CS19" s="667"/>
      <c r="CT19" s="667"/>
      <c r="CU19" s="667"/>
      <c r="CV19" s="667"/>
      <c r="CW19" s="667"/>
      <c r="CX19" s="667"/>
      <c r="CY19" s="667"/>
      <c r="CZ19" s="667"/>
      <c r="DA19" s="667"/>
      <c r="DB19" s="667"/>
      <c r="DC19" s="667"/>
      <c r="DD19" s="667"/>
      <c r="DE19" s="667"/>
      <c r="DF19" s="667"/>
      <c r="DG19" s="667"/>
      <c r="DH19" s="667"/>
      <c r="DI19" s="667"/>
      <c r="DJ19" s="667"/>
      <c r="DK19" s="667"/>
      <c r="DL19" s="667"/>
      <c r="DM19" s="667"/>
      <c r="DN19" s="667"/>
      <c r="DO19" s="667"/>
      <c r="DP19" s="667"/>
      <c r="DQ19" s="667"/>
      <c r="DR19" s="667"/>
      <c r="DS19" s="667"/>
      <c r="DT19" s="667"/>
      <c r="DU19" s="667"/>
      <c r="DV19" s="667"/>
      <c r="DW19" s="667"/>
      <c r="DX19" s="667"/>
      <c r="DY19" s="667"/>
      <c r="DZ19" s="667"/>
      <c r="EA19" s="667"/>
      <c r="EB19" s="667"/>
      <c r="EC19" s="667"/>
    </row>
    <row r="20" spans="1:133" ht="5.0999999999999996" customHeight="1">
      <c r="A20" s="2381"/>
      <c r="B20" s="2382"/>
      <c r="C20" s="2382"/>
      <c r="D20" s="2382"/>
      <c r="E20" s="2382"/>
      <c r="F20" s="2382"/>
      <c r="G20" s="2382"/>
      <c r="H20" s="2382"/>
      <c r="I20" s="2382"/>
      <c r="J20" s="2382"/>
      <c r="K20" s="2382"/>
      <c r="L20" s="2382"/>
      <c r="M20" s="2382"/>
      <c r="N20" s="2382"/>
      <c r="O20" s="2382"/>
      <c r="P20" s="2382"/>
      <c r="Q20" s="2382"/>
      <c r="R20" s="2382"/>
      <c r="S20" s="2382"/>
      <c r="T20" s="2382"/>
      <c r="U20" s="2382"/>
      <c r="V20" s="2382"/>
      <c r="W20" s="2382"/>
      <c r="X20" s="2382"/>
      <c r="Y20" s="2382"/>
      <c r="Z20" s="2382"/>
      <c r="AA20" s="2382"/>
      <c r="AB20" s="2382"/>
      <c r="AC20" s="2382"/>
      <c r="AD20" s="2382"/>
      <c r="AE20" s="2382"/>
      <c r="AF20" s="2382"/>
      <c r="AG20" s="2382"/>
      <c r="AH20" s="2382"/>
      <c r="AI20" s="2382"/>
      <c r="AJ20" s="2382"/>
      <c r="AK20" s="2382"/>
      <c r="AL20" s="2382"/>
      <c r="AM20" s="2382"/>
      <c r="AN20" s="2382"/>
      <c r="AO20" s="2382"/>
      <c r="AP20" s="2382"/>
      <c r="AQ20" s="2382"/>
      <c r="AR20" s="2382"/>
      <c r="AS20" s="2382"/>
      <c r="AT20" s="2382"/>
      <c r="AU20" s="2382"/>
      <c r="AV20" s="2382"/>
      <c r="AW20" s="2382"/>
      <c r="AX20" s="2382"/>
      <c r="AY20" s="2382"/>
      <c r="AZ20" s="2382"/>
      <c r="BA20" s="2382"/>
      <c r="BB20" s="2382"/>
      <c r="BC20" s="2382"/>
      <c r="BD20" s="2382"/>
      <c r="BE20" s="2382"/>
      <c r="BF20" s="2382"/>
      <c r="BG20" s="2383"/>
      <c r="BH20" s="651"/>
    </row>
    <row r="21" spans="1:133" ht="15" customHeight="1">
      <c r="A21" s="2354" t="s">
        <v>3075</v>
      </c>
      <c r="B21" s="2355"/>
      <c r="C21" s="2355"/>
      <c r="D21" s="2355"/>
      <c r="E21" s="2355"/>
      <c r="F21" s="2355"/>
      <c r="G21" s="2355"/>
      <c r="H21" s="2355"/>
      <c r="I21" s="2355"/>
      <c r="J21" s="2355"/>
      <c r="K21" s="2355"/>
      <c r="L21" s="2355"/>
      <c r="M21" s="2355"/>
      <c r="N21" s="2355"/>
      <c r="O21" s="2355"/>
      <c r="P21" s="2355"/>
      <c r="Q21" s="2355"/>
      <c r="R21" s="2355"/>
      <c r="S21" s="2355"/>
      <c r="T21" s="2355"/>
      <c r="U21" s="2355"/>
      <c r="V21" s="2355"/>
      <c r="W21" s="2355"/>
      <c r="X21" s="2355"/>
      <c r="Y21" s="2355"/>
      <c r="Z21" s="2355"/>
      <c r="AA21" s="2355"/>
      <c r="AB21" s="2355"/>
      <c r="AC21" s="2355"/>
      <c r="AD21" s="2355"/>
      <c r="AE21" s="2355"/>
      <c r="AF21" s="2355"/>
      <c r="AG21" s="2355"/>
      <c r="AH21" s="2355"/>
      <c r="AI21" s="2355"/>
      <c r="AJ21" s="2355"/>
      <c r="AK21" s="2355"/>
      <c r="AL21" s="2355"/>
      <c r="AM21" s="2355"/>
      <c r="AN21" s="2355"/>
      <c r="AO21" s="2355"/>
      <c r="AP21" s="2355"/>
      <c r="AQ21" s="2355"/>
      <c r="AR21" s="2384"/>
      <c r="AS21" s="2384"/>
      <c r="AT21" s="2384"/>
      <c r="AU21" s="2384"/>
      <c r="AV21" s="2384"/>
      <c r="AW21" s="2384"/>
      <c r="AX21" s="2384"/>
      <c r="AY21" s="2384"/>
      <c r="AZ21" s="2384"/>
      <c r="BA21" s="2384"/>
      <c r="BB21" s="2384"/>
      <c r="BC21" s="2384"/>
      <c r="BD21" s="2384"/>
      <c r="BE21" s="2384"/>
      <c r="BF21" s="2384"/>
      <c r="BG21" s="2385"/>
      <c r="BH21" s="651"/>
    </row>
    <row r="22" spans="1:133" ht="14.1" customHeight="1">
      <c r="A22" s="742"/>
      <c r="B22" s="743"/>
      <c r="C22" s="2386" t="s">
        <v>3076</v>
      </c>
      <c r="D22" s="2386"/>
      <c r="E22" s="2387"/>
      <c r="F22" s="2387"/>
      <c r="G22" s="2387"/>
      <c r="H22" s="2387"/>
      <c r="I22" s="2387"/>
      <c r="J22" s="2387"/>
      <c r="K22" s="2387"/>
      <c r="L22" s="2387"/>
      <c r="M22" s="2387"/>
      <c r="N22" s="2387"/>
      <c r="O22" s="2387"/>
      <c r="P22" s="2387"/>
      <c r="Q22" s="2387"/>
      <c r="R22" s="2387"/>
      <c r="S22" s="2387"/>
      <c r="T22" s="2387"/>
      <c r="U22" s="2387"/>
      <c r="V22" s="2387"/>
      <c r="W22" s="2387"/>
      <c r="X22" s="2387"/>
      <c r="Y22" s="2387"/>
      <c r="Z22" s="2387"/>
      <c r="AA22" s="2387"/>
      <c r="AB22" s="2387"/>
      <c r="AC22" s="2387"/>
      <c r="AD22" s="2387"/>
      <c r="AE22" s="2387"/>
      <c r="AF22" s="2387"/>
      <c r="AG22" s="2387"/>
      <c r="AH22" s="2387"/>
      <c r="AI22" s="2387"/>
      <c r="AJ22" s="2387"/>
      <c r="AK22" s="2387"/>
      <c r="AL22" s="2387"/>
      <c r="AM22" s="2387"/>
      <c r="AN22" s="2387"/>
      <c r="AO22" s="2387"/>
      <c r="AP22" s="2388"/>
      <c r="AQ22" s="732"/>
      <c r="AR22" s="730" t="s">
        <v>234</v>
      </c>
      <c r="AS22" s="2389" t="s">
        <v>3077</v>
      </c>
      <c r="AT22" s="2390"/>
      <c r="AU22" s="2390"/>
      <c r="AV22" s="2390"/>
      <c r="AW22" s="2390"/>
      <c r="AX22" s="2390"/>
      <c r="AY22" s="2390"/>
      <c r="AZ22" s="2390"/>
      <c r="BA22" s="2390"/>
      <c r="BB22" s="2390"/>
      <c r="BC22" s="2390"/>
      <c r="BD22" s="2390"/>
      <c r="BE22" s="2390"/>
      <c r="BF22" s="2390"/>
      <c r="BG22" s="2391"/>
      <c r="BH22" s="651"/>
    </row>
    <row r="23" spans="1:133" ht="14.1" customHeight="1">
      <c r="A23" s="739"/>
      <c r="B23" s="649"/>
      <c r="C23" s="746">
        <v>1</v>
      </c>
      <c r="D23" s="746"/>
      <c r="E23" s="746">
        <v>2</v>
      </c>
      <c r="F23" s="746"/>
      <c r="G23" s="746">
        <v>3</v>
      </c>
      <c r="H23" s="746"/>
      <c r="I23" s="746">
        <v>4</v>
      </c>
      <c r="J23" s="746"/>
      <c r="K23" s="746">
        <v>5</v>
      </c>
      <c r="L23" s="746"/>
      <c r="M23" s="746">
        <v>6</v>
      </c>
      <c r="N23" s="746"/>
      <c r="O23" s="746">
        <v>7</v>
      </c>
      <c r="P23" s="746"/>
      <c r="Q23" s="746">
        <v>8</v>
      </c>
      <c r="R23" s="746"/>
      <c r="S23" s="746">
        <v>9</v>
      </c>
      <c r="T23" s="746"/>
      <c r="U23" s="746">
        <v>10</v>
      </c>
      <c r="V23" s="746"/>
      <c r="W23" s="746">
        <v>11</v>
      </c>
      <c r="X23" s="746"/>
      <c r="Y23" s="746">
        <v>12</v>
      </c>
      <c r="Z23" s="2392" t="s">
        <v>215</v>
      </c>
      <c r="AA23" s="2393"/>
      <c r="AB23" s="2382"/>
      <c r="AC23" s="2390"/>
      <c r="AD23" s="2390"/>
      <c r="AE23" s="2390"/>
      <c r="AF23" s="2390"/>
      <c r="AG23" s="2390"/>
      <c r="AH23" s="2390"/>
      <c r="AI23" s="2390"/>
      <c r="AJ23" s="2390"/>
      <c r="AK23" s="2390"/>
      <c r="AL23" s="2390"/>
      <c r="AM23" s="2390"/>
      <c r="AN23" s="2390"/>
      <c r="AO23" s="2390"/>
      <c r="AP23" s="2391"/>
      <c r="AQ23" s="2390"/>
      <c r="AR23" s="2390"/>
      <c r="AS23" s="2390"/>
      <c r="AT23" s="2390"/>
      <c r="AU23" s="2390"/>
      <c r="AV23" s="2390"/>
      <c r="AW23" s="2390"/>
      <c r="AX23" s="2390"/>
      <c r="AY23" s="2390"/>
      <c r="AZ23" s="2390"/>
      <c r="BA23" s="2390"/>
      <c r="BB23" s="2390"/>
      <c r="BC23" s="2390"/>
      <c r="BD23" s="2390"/>
      <c r="BE23" s="2390"/>
      <c r="BF23" s="2390"/>
      <c r="BG23" s="2391"/>
      <c r="BH23" s="651"/>
    </row>
    <row r="24" spans="1:133" ht="14.1" customHeight="1">
      <c r="A24" s="2381"/>
      <c r="B24" s="2390"/>
      <c r="C24" s="730"/>
      <c r="D24" s="747"/>
      <c r="E24" s="730"/>
      <c r="F24" s="748"/>
      <c r="G24" s="730"/>
      <c r="H24" s="748"/>
      <c r="I24" s="730"/>
      <c r="J24" s="748"/>
      <c r="K24" s="730"/>
      <c r="L24" s="748"/>
      <c r="M24" s="730"/>
      <c r="N24" s="748"/>
      <c r="O24" s="730"/>
      <c r="P24" s="748"/>
      <c r="Q24" s="730"/>
      <c r="R24" s="748"/>
      <c r="S24" s="730"/>
      <c r="T24" s="748"/>
      <c r="U24" s="730"/>
      <c r="V24" s="748"/>
      <c r="W24" s="730"/>
      <c r="X24" s="748"/>
      <c r="Y24" s="730"/>
      <c r="Z24" s="748"/>
      <c r="AA24" s="730"/>
      <c r="AB24" s="2390"/>
      <c r="AC24" s="2390"/>
      <c r="AD24" s="2390"/>
      <c r="AE24" s="2390"/>
      <c r="AF24" s="2390"/>
      <c r="AG24" s="2390"/>
      <c r="AH24" s="2390"/>
      <c r="AI24" s="2390"/>
      <c r="AJ24" s="2390"/>
      <c r="AK24" s="2390"/>
      <c r="AL24" s="2390"/>
      <c r="AM24" s="2390"/>
      <c r="AN24" s="2390"/>
      <c r="AO24" s="2390"/>
      <c r="AP24" s="2391"/>
      <c r="AQ24" s="732"/>
      <c r="AR24" s="730"/>
      <c r="AS24" s="2389" t="s">
        <v>3078</v>
      </c>
      <c r="AT24" s="2390"/>
      <c r="AU24" s="2390"/>
      <c r="AV24" s="2390"/>
      <c r="AW24" s="2390"/>
      <c r="AX24" s="2390"/>
      <c r="AY24" s="2390"/>
      <c r="AZ24" s="2390"/>
      <c r="BA24" s="2390"/>
      <c r="BB24" s="2390"/>
      <c r="BC24" s="2390"/>
      <c r="BD24" s="2390"/>
      <c r="BE24" s="2390"/>
      <c r="BF24" s="2390"/>
      <c r="BG24" s="2391"/>
      <c r="BH24" s="651"/>
    </row>
    <row r="25" spans="1:133" ht="14.1" customHeight="1">
      <c r="A25" s="742"/>
      <c r="B25" s="749"/>
      <c r="C25" s="2399" t="s">
        <v>3079</v>
      </c>
      <c r="D25" s="2399"/>
      <c r="E25" s="2342"/>
      <c r="F25" s="2342"/>
      <c r="G25" s="2342"/>
      <c r="H25" s="2342"/>
      <c r="I25" s="2342"/>
      <c r="J25" s="2342"/>
      <c r="K25" s="2342"/>
      <c r="L25" s="2342"/>
      <c r="M25" s="2342"/>
      <c r="N25" s="2342"/>
      <c r="O25" s="2342"/>
      <c r="P25" s="2342"/>
      <c r="Q25" s="2342"/>
      <c r="R25" s="2342"/>
      <c r="S25" s="2342"/>
      <c r="T25" s="2342"/>
      <c r="U25" s="2342"/>
      <c r="V25" s="2342"/>
      <c r="W25" s="2342"/>
      <c r="X25" s="2342"/>
      <c r="Y25" s="2342"/>
      <c r="Z25" s="2342"/>
      <c r="AA25" s="2342"/>
      <c r="AB25" s="2342"/>
      <c r="AC25" s="2342"/>
      <c r="AD25" s="2342"/>
      <c r="AE25" s="2342"/>
      <c r="AF25" s="2342"/>
      <c r="AG25" s="2342"/>
      <c r="AH25" s="2342"/>
      <c r="AI25" s="2342"/>
      <c r="AJ25" s="2342"/>
      <c r="AK25" s="2342"/>
      <c r="AL25" s="2342"/>
      <c r="AM25" s="2342"/>
      <c r="AN25" s="2342"/>
      <c r="AO25" s="2342"/>
      <c r="AP25" s="2400"/>
      <c r="AQ25" s="2390"/>
      <c r="AR25" s="2390"/>
      <c r="AS25" s="2390"/>
      <c r="AT25" s="2390"/>
      <c r="AU25" s="2390"/>
      <c r="AV25" s="2390"/>
      <c r="AW25" s="2390"/>
      <c r="AX25" s="2390"/>
      <c r="AY25" s="2390"/>
      <c r="AZ25" s="2390"/>
      <c r="BA25" s="2390"/>
      <c r="BB25" s="2390"/>
      <c r="BC25" s="2390"/>
      <c r="BD25" s="2390"/>
      <c r="BE25" s="2390"/>
      <c r="BF25" s="2390"/>
      <c r="BG25" s="2391"/>
      <c r="BH25" s="651"/>
    </row>
    <row r="26" spans="1:133" ht="14.1" customHeight="1">
      <c r="A26" s="739"/>
      <c r="B26" s="649"/>
      <c r="C26" s="746">
        <v>1</v>
      </c>
      <c r="D26" s="746"/>
      <c r="E26" s="746">
        <v>2</v>
      </c>
      <c r="F26" s="746"/>
      <c r="G26" s="746">
        <v>3</v>
      </c>
      <c r="H26" s="746"/>
      <c r="I26" s="746">
        <v>4</v>
      </c>
      <c r="J26" s="746"/>
      <c r="K26" s="746">
        <v>5</v>
      </c>
      <c r="L26" s="746"/>
      <c r="M26" s="746">
        <v>6</v>
      </c>
      <c r="N26" s="746"/>
      <c r="O26" s="746">
        <v>7</v>
      </c>
      <c r="P26" s="746"/>
      <c r="Q26" s="746">
        <v>8</v>
      </c>
      <c r="R26" s="746"/>
      <c r="S26" s="746">
        <v>9</v>
      </c>
      <c r="T26" s="746"/>
      <c r="U26" s="746">
        <v>10</v>
      </c>
      <c r="V26" s="746"/>
      <c r="W26" s="746">
        <v>11</v>
      </c>
      <c r="X26" s="746"/>
      <c r="Y26" s="746">
        <v>12</v>
      </c>
      <c r="Z26" s="2392" t="s">
        <v>215</v>
      </c>
      <c r="AA26" s="2393"/>
      <c r="AB26" s="2382"/>
      <c r="AC26" s="2382"/>
      <c r="AD26" s="2382"/>
      <c r="AE26" s="2402" t="s">
        <v>3080</v>
      </c>
      <c r="AF26" s="2403"/>
      <c r="AG26" s="2403"/>
      <c r="AH26" s="2403"/>
      <c r="AI26" s="2403"/>
      <c r="AJ26" s="2403"/>
      <c r="AK26" s="2404" t="s">
        <v>3081</v>
      </c>
      <c r="AL26" s="2390"/>
      <c r="AM26" s="2390"/>
      <c r="AN26" s="2390"/>
      <c r="AO26" s="2390"/>
      <c r="AP26" s="2391"/>
      <c r="AQ26" s="732"/>
      <c r="AR26" s="730"/>
      <c r="AS26" s="2389" t="s">
        <v>3082</v>
      </c>
      <c r="AT26" s="2390"/>
      <c r="AU26" s="2390"/>
      <c r="AV26" s="2390"/>
      <c r="AW26" s="2390"/>
      <c r="AX26" s="2390"/>
      <c r="AY26" s="2390"/>
      <c r="AZ26" s="2390"/>
      <c r="BA26" s="2390"/>
      <c r="BB26" s="2390"/>
      <c r="BC26" s="2390"/>
      <c r="BD26" s="2390"/>
      <c r="BE26" s="2390"/>
      <c r="BF26" s="2390"/>
      <c r="BG26" s="2391"/>
      <c r="BH26" s="651"/>
    </row>
    <row r="27" spans="1:133" ht="14.1" customHeight="1">
      <c r="A27" s="2381"/>
      <c r="B27" s="2394"/>
      <c r="C27" s="730"/>
      <c r="D27" s="747"/>
      <c r="E27" s="730"/>
      <c r="F27" s="748"/>
      <c r="G27" s="730"/>
      <c r="H27" s="748"/>
      <c r="I27" s="730"/>
      <c r="J27" s="748"/>
      <c r="K27" s="730"/>
      <c r="L27" s="748"/>
      <c r="M27" s="730"/>
      <c r="N27" s="748"/>
      <c r="O27" s="730"/>
      <c r="P27" s="748"/>
      <c r="Q27" s="730"/>
      <c r="R27" s="748"/>
      <c r="S27" s="730"/>
      <c r="T27" s="748"/>
      <c r="U27" s="730"/>
      <c r="V27" s="748"/>
      <c r="W27" s="730"/>
      <c r="X27" s="748"/>
      <c r="Y27" s="730"/>
      <c r="Z27" s="748"/>
      <c r="AA27" s="730"/>
      <c r="AB27" s="2395" t="s">
        <v>3083</v>
      </c>
      <c r="AC27" s="2396"/>
      <c r="AD27" s="2396"/>
      <c r="AE27" s="730"/>
      <c r="AF27" s="2397"/>
      <c r="AG27" s="2390"/>
      <c r="AH27" s="2390"/>
      <c r="AI27" s="2390"/>
      <c r="AJ27" s="2394"/>
      <c r="AK27" s="730"/>
      <c r="AL27" s="2398"/>
      <c r="AM27" s="2390"/>
      <c r="AN27" s="2390"/>
      <c r="AO27" s="2390"/>
      <c r="AP27" s="2391"/>
      <c r="AQ27" s="2390"/>
      <c r="AR27" s="2390"/>
      <c r="AS27" s="2390"/>
      <c r="AT27" s="2390"/>
      <c r="AU27" s="2390"/>
      <c r="AV27" s="2390"/>
      <c r="AW27" s="2390"/>
      <c r="AX27" s="2390"/>
      <c r="AY27" s="2390"/>
      <c r="AZ27" s="2390"/>
      <c r="BA27" s="2390"/>
      <c r="BB27" s="2390"/>
      <c r="BC27" s="2390"/>
      <c r="BD27" s="2390"/>
      <c r="BE27" s="2390"/>
      <c r="BF27" s="2390"/>
      <c r="BG27" s="2391"/>
      <c r="BH27" s="651"/>
    </row>
    <row r="28" spans="1:133" ht="14.1" customHeight="1">
      <c r="A28" s="742"/>
      <c r="B28" s="749"/>
      <c r="C28" s="2399" t="s">
        <v>3084</v>
      </c>
      <c r="D28" s="2399"/>
      <c r="E28" s="2342"/>
      <c r="F28" s="2342"/>
      <c r="G28" s="2342"/>
      <c r="H28" s="2342"/>
      <c r="I28" s="2342"/>
      <c r="J28" s="2342"/>
      <c r="K28" s="2342"/>
      <c r="L28" s="2342"/>
      <c r="M28" s="2342"/>
      <c r="N28" s="2342"/>
      <c r="O28" s="2342"/>
      <c r="P28" s="2342"/>
      <c r="Q28" s="2342"/>
      <c r="R28" s="2342"/>
      <c r="S28" s="2342"/>
      <c r="T28" s="2342"/>
      <c r="U28" s="2342"/>
      <c r="V28" s="2342"/>
      <c r="W28" s="2342"/>
      <c r="X28" s="2342"/>
      <c r="Y28" s="2342"/>
      <c r="Z28" s="2342"/>
      <c r="AA28" s="2342"/>
      <c r="AB28" s="2342"/>
      <c r="AC28" s="2342"/>
      <c r="AD28" s="2342"/>
      <c r="AE28" s="2342"/>
      <c r="AF28" s="2342"/>
      <c r="AG28" s="2342"/>
      <c r="AH28" s="2342"/>
      <c r="AI28" s="2342"/>
      <c r="AJ28" s="2342"/>
      <c r="AK28" s="2342"/>
      <c r="AL28" s="2342"/>
      <c r="AM28" s="2342"/>
      <c r="AN28" s="2342"/>
      <c r="AO28" s="2342"/>
      <c r="AP28" s="2400"/>
      <c r="AQ28" s="732"/>
      <c r="AR28" s="730"/>
      <c r="AS28" s="2401" t="s">
        <v>3085</v>
      </c>
      <c r="AT28" s="2390"/>
      <c r="AU28" s="2390"/>
      <c r="AV28" s="2390"/>
      <c r="AW28" s="2390"/>
      <c r="AX28" s="2390"/>
      <c r="AY28" s="2390"/>
      <c r="AZ28" s="2390"/>
      <c r="BA28" s="2390"/>
      <c r="BB28" s="2390"/>
      <c r="BC28" s="2390"/>
      <c r="BD28" s="2390"/>
      <c r="BE28" s="2390"/>
      <c r="BF28" s="2390"/>
      <c r="BG28" s="2391"/>
      <c r="BH28" s="651"/>
    </row>
    <row r="29" spans="1:133" ht="13.5" customHeight="1">
      <c r="A29" s="739"/>
      <c r="B29" s="649"/>
      <c r="C29" s="746">
        <v>1</v>
      </c>
      <c r="D29" s="746"/>
      <c r="E29" s="746">
        <v>2</v>
      </c>
      <c r="F29" s="746"/>
      <c r="G29" s="746">
        <v>3</v>
      </c>
      <c r="H29" s="746"/>
      <c r="I29" s="746">
        <v>4</v>
      </c>
      <c r="J29" s="746"/>
      <c r="K29" s="746">
        <v>5</v>
      </c>
      <c r="L29" s="746"/>
      <c r="M29" s="746">
        <v>6</v>
      </c>
      <c r="N29" s="746"/>
      <c r="O29" s="746">
        <v>7</v>
      </c>
      <c r="P29" s="746"/>
      <c r="Q29" s="746">
        <v>8</v>
      </c>
      <c r="R29" s="746"/>
      <c r="S29" s="746">
        <v>9</v>
      </c>
      <c r="T29" s="746"/>
      <c r="U29" s="746">
        <v>10</v>
      </c>
      <c r="V29" s="746"/>
      <c r="W29" s="746">
        <v>11</v>
      </c>
      <c r="X29" s="746"/>
      <c r="Y29" s="746">
        <v>12</v>
      </c>
      <c r="Z29" s="2392" t="s">
        <v>215</v>
      </c>
      <c r="AA29" s="2393"/>
      <c r="AB29" s="2382"/>
      <c r="AC29" s="2382"/>
      <c r="AD29" s="2382"/>
      <c r="AE29" s="751" t="s">
        <v>210</v>
      </c>
      <c r="AF29" s="751"/>
      <c r="AG29" s="751" t="s">
        <v>211</v>
      </c>
      <c r="AH29" s="751"/>
      <c r="AI29" s="751" t="s">
        <v>197</v>
      </c>
      <c r="AJ29" s="751"/>
      <c r="AK29" s="751" t="s">
        <v>198</v>
      </c>
      <c r="AL29" s="751"/>
      <c r="AM29" s="751" t="s">
        <v>199</v>
      </c>
      <c r="AN29" s="751"/>
      <c r="AO29" s="751" t="s">
        <v>200</v>
      </c>
      <c r="AP29" s="745"/>
      <c r="AQ29" s="2390"/>
      <c r="AR29" s="2390"/>
      <c r="AS29" s="2390"/>
      <c r="AT29" s="2390"/>
      <c r="AU29" s="2390"/>
      <c r="AV29" s="2390"/>
      <c r="AW29" s="2390"/>
      <c r="AX29" s="2390"/>
      <c r="AY29" s="2390"/>
      <c r="AZ29" s="2390"/>
      <c r="BA29" s="2390"/>
      <c r="BB29" s="2390"/>
      <c r="BC29" s="2390"/>
      <c r="BD29" s="2390"/>
      <c r="BE29" s="2390"/>
      <c r="BF29" s="2390"/>
      <c r="BG29" s="2391"/>
      <c r="BH29" s="651"/>
    </row>
    <row r="30" spans="1:133" ht="13.5" customHeight="1">
      <c r="A30" s="2381"/>
      <c r="B30" s="2394"/>
      <c r="C30" s="730"/>
      <c r="D30" s="747"/>
      <c r="E30" s="730"/>
      <c r="F30" s="748"/>
      <c r="G30" s="730"/>
      <c r="H30" s="748"/>
      <c r="I30" s="730"/>
      <c r="J30" s="748"/>
      <c r="K30" s="730"/>
      <c r="L30" s="748"/>
      <c r="M30" s="730"/>
      <c r="N30" s="748"/>
      <c r="O30" s="730"/>
      <c r="P30" s="748"/>
      <c r="Q30" s="730"/>
      <c r="R30" s="748"/>
      <c r="S30" s="730"/>
      <c r="T30" s="748"/>
      <c r="U30" s="730"/>
      <c r="V30" s="748"/>
      <c r="W30" s="730"/>
      <c r="X30" s="748"/>
      <c r="Y30" s="730"/>
      <c r="Z30" s="748"/>
      <c r="AA30" s="730"/>
      <c r="AB30" s="2395" t="s">
        <v>3083</v>
      </c>
      <c r="AC30" s="2396"/>
      <c r="AD30" s="2396"/>
      <c r="AE30" s="730"/>
      <c r="AF30" s="748"/>
      <c r="AG30" s="730"/>
      <c r="AH30" s="748"/>
      <c r="AI30" s="730"/>
      <c r="AJ30" s="748"/>
      <c r="AK30" s="730"/>
      <c r="AL30" s="748"/>
      <c r="AM30" s="730"/>
      <c r="AN30" s="748"/>
      <c r="AO30" s="730"/>
      <c r="AP30" s="745"/>
      <c r="AQ30" s="732"/>
      <c r="AR30" s="730"/>
      <c r="AS30" s="2401" t="s">
        <v>3086</v>
      </c>
      <c r="AT30" s="2390"/>
      <c r="AU30" s="2390"/>
      <c r="AV30" s="2390"/>
      <c r="AW30" s="2390"/>
      <c r="AX30" s="2390"/>
      <c r="AY30" s="2390"/>
      <c r="AZ30" s="2390"/>
      <c r="BA30" s="2390"/>
      <c r="BB30" s="2390"/>
      <c r="BC30" s="2390"/>
      <c r="BD30" s="2390"/>
      <c r="BE30" s="2390"/>
      <c r="BF30" s="2390"/>
      <c r="BG30" s="2391"/>
      <c r="BH30" s="651"/>
      <c r="BN30" s="651">
        <f>+IF(EXACT(AA30,"X"),12,0)</f>
        <v>0</v>
      </c>
      <c r="BO30" s="651">
        <f>+IF(EXACT(C30,"X"),1,0)</f>
        <v>0</v>
      </c>
      <c r="BP30" s="651">
        <f>+IF(EXACT(E30,"X"),1,0)</f>
        <v>0</v>
      </c>
      <c r="BQ30" s="651">
        <f>+IF(EXACT(G30,"X"),1,0)</f>
        <v>0</v>
      </c>
      <c r="BR30" s="651">
        <f>+IF(EXACT(I30,"X"),1,0)</f>
        <v>0</v>
      </c>
      <c r="BS30" s="651">
        <f>+IF(EXACT(K30,"X"),1,0)</f>
        <v>0</v>
      </c>
      <c r="BT30" s="651">
        <f>+IF(EXACT(M30,"X"),1,0)</f>
        <v>0</v>
      </c>
      <c r="BU30" s="651">
        <f>+IF(EXACT(O30,"X"),1,0)</f>
        <v>0</v>
      </c>
      <c r="BV30" s="651">
        <f>+IF(EXACT(Q30,"X"),1,0)</f>
        <v>0</v>
      </c>
      <c r="BW30" s="651">
        <f>+IF(EXACT(S30,"X"),1,0)</f>
        <v>0</v>
      </c>
      <c r="BX30" s="651">
        <f>+IF(EXACT(U30,"X"),1,0)</f>
        <v>0</v>
      </c>
      <c r="BY30" s="651">
        <f>+IF(EXACT(W30,"X"),1,0)</f>
        <v>0</v>
      </c>
      <c r="BZ30" s="651">
        <f>+IF(EXACT(Y30,"X"),1,0)</f>
        <v>0</v>
      </c>
      <c r="CA30" s="651">
        <f>+IF(BN30=12,12,+SUM(BO30:BZ30))</f>
        <v>0</v>
      </c>
    </row>
    <row r="31" spans="1:133" ht="13.5" customHeight="1">
      <c r="A31" s="739"/>
      <c r="B31" s="649"/>
      <c r="C31" s="2405" t="s">
        <v>3087</v>
      </c>
      <c r="D31" s="2406"/>
      <c r="E31" s="2406"/>
      <c r="F31" s="2406"/>
      <c r="G31" s="2406"/>
      <c r="H31" s="2406"/>
      <c r="I31" s="2406"/>
      <c r="J31" s="2406"/>
      <c r="K31" s="2406"/>
      <c r="L31" s="2407" t="s">
        <v>3088</v>
      </c>
      <c r="M31" s="2408"/>
      <c r="N31" s="2408"/>
      <c r="O31" s="2408"/>
      <c r="P31" s="2408"/>
      <c r="Q31" s="2408"/>
      <c r="R31" s="2408"/>
      <c r="S31" s="2408"/>
      <c r="T31" s="2408"/>
      <c r="U31" s="2408"/>
      <c r="V31" s="2408"/>
      <c r="W31" s="2408"/>
      <c r="X31" s="2408"/>
      <c r="Y31" s="2408"/>
      <c r="Z31" s="2408"/>
      <c r="AA31" s="2408"/>
      <c r="AB31" s="2408"/>
      <c r="AC31" s="2408"/>
      <c r="AD31" s="2408"/>
      <c r="AE31" s="2408"/>
      <c r="AF31" s="2408"/>
      <c r="AG31" s="2408"/>
      <c r="AH31" s="2408"/>
      <c r="AI31" s="2408"/>
      <c r="AJ31" s="2408"/>
      <c r="AK31" s="2408"/>
      <c r="AL31" s="2408"/>
      <c r="AM31" s="2408"/>
      <c r="AN31" s="2408"/>
      <c r="AO31" s="2408"/>
      <c r="AP31" s="745"/>
      <c r="AQ31" s="2390"/>
      <c r="AR31" s="2390"/>
      <c r="AS31" s="2390"/>
      <c r="AT31" s="2390"/>
      <c r="AU31" s="2390"/>
      <c r="AV31" s="2390"/>
      <c r="AW31" s="2390"/>
      <c r="AX31" s="2390"/>
      <c r="AY31" s="2390"/>
      <c r="AZ31" s="2390"/>
      <c r="BA31" s="2390"/>
      <c r="BB31" s="2390"/>
      <c r="BC31" s="2390"/>
      <c r="BD31" s="2390"/>
      <c r="BE31" s="2390"/>
      <c r="BF31" s="2390"/>
      <c r="BG31" s="2391"/>
      <c r="BH31" s="651"/>
    </row>
    <row r="32" spans="1:133" ht="24" customHeight="1">
      <c r="A32" s="739"/>
      <c r="B32" s="649"/>
      <c r="C32" s="2406"/>
      <c r="D32" s="2406"/>
      <c r="E32" s="2406"/>
      <c r="F32" s="2406"/>
      <c r="G32" s="2406"/>
      <c r="H32" s="2406"/>
      <c r="I32" s="2406"/>
      <c r="J32" s="2406"/>
      <c r="K32" s="2406"/>
      <c r="L32" s="2409"/>
      <c r="M32" s="2410"/>
      <c r="N32" s="2410"/>
      <c r="O32" s="2410"/>
      <c r="P32" s="2410"/>
      <c r="Q32" s="2410"/>
      <c r="R32" s="2410"/>
      <c r="S32" s="2410"/>
      <c r="T32" s="2410"/>
      <c r="U32" s="2410"/>
      <c r="V32" s="2410"/>
      <c r="W32" s="2410"/>
      <c r="X32" s="2410"/>
      <c r="Y32" s="2410"/>
      <c r="Z32" s="2410"/>
      <c r="AA32" s="2411"/>
      <c r="AB32" s="744"/>
      <c r="AC32" s="2412"/>
      <c r="AD32" s="2413"/>
      <c r="AE32" s="2413"/>
      <c r="AF32" s="2413"/>
      <c r="AG32" s="2413"/>
      <c r="AH32" s="2413"/>
      <c r="AI32" s="2413"/>
      <c r="AJ32" s="2413"/>
      <c r="AK32" s="2413"/>
      <c r="AL32" s="2413"/>
      <c r="AM32" s="2413"/>
      <c r="AN32" s="2413"/>
      <c r="AO32" s="2414"/>
      <c r="AP32" s="750"/>
      <c r="AQ32" s="2390"/>
      <c r="AR32" s="2390"/>
      <c r="AS32" s="2390"/>
      <c r="AT32" s="2390"/>
      <c r="AU32" s="2390"/>
      <c r="AV32" s="2390"/>
      <c r="AW32" s="2390"/>
      <c r="AX32" s="2390"/>
      <c r="AY32" s="2390"/>
      <c r="AZ32" s="2390"/>
      <c r="BA32" s="2390"/>
      <c r="BB32" s="2390"/>
      <c r="BC32" s="2390"/>
      <c r="BD32" s="2390"/>
      <c r="BE32" s="2390"/>
      <c r="BF32" s="2390"/>
      <c r="BG32" s="2391"/>
      <c r="BH32" s="651"/>
    </row>
    <row r="33" spans="1:70" s="546" customFormat="1" ht="12" customHeight="1">
      <c r="A33" s="2381"/>
      <c r="B33" s="2382"/>
      <c r="C33" s="2390"/>
      <c r="D33" s="2390"/>
      <c r="E33" s="2390"/>
      <c r="F33" s="2390"/>
      <c r="G33" s="2390"/>
      <c r="H33" s="2390"/>
      <c r="I33" s="2390"/>
      <c r="J33" s="2390"/>
      <c r="K33" s="2390"/>
      <c r="L33" s="2390"/>
      <c r="M33" s="2390"/>
      <c r="N33" s="2390"/>
      <c r="O33" s="2390"/>
      <c r="P33" s="2390"/>
      <c r="Q33" s="2390"/>
      <c r="R33" s="2390"/>
      <c r="S33" s="2390"/>
      <c r="T33" s="2390"/>
      <c r="U33" s="2390"/>
      <c r="V33" s="2390"/>
      <c r="W33" s="2390"/>
      <c r="X33" s="2390"/>
      <c r="Y33" s="2390"/>
      <c r="Z33" s="2390"/>
      <c r="AA33" s="2390"/>
      <c r="AB33" s="2390"/>
      <c r="AC33" s="2390"/>
      <c r="AD33" s="2390"/>
      <c r="AE33" s="2390"/>
      <c r="AF33" s="2390"/>
      <c r="AG33" s="2390"/>
      <c r="AH33" s="2390"/>
      <c r="AI33" s="2390"/>
      <c r="AJ33" s="2390"/>
      <c r="AK33" s="2390"/>
      <c r="AL33" s="2390"/>
      <c r="AM33" s="2390"/>
      <c r="AN33" s="2390"/>
      <c r="AO33" s="2390"/>
      <c r="AP33" s="2391"/>
      <c r="AQ33" s="2390"/>
      <c r="AR33" s="2390"/>
      <c r="AS33" s="2390"/>
      <c r="AT33" s="2390"/>
      <c r="AU33" s="2390"/>
      <c r="AV33" s="2390"/>
      <c r="AW33" s="2390"/>
      <c r="AX33" s="2390"/>
      <c r="AY33" s="2390"/>
      <c r="AZ33" s="2390"/>
      <c r="BA33" s="2390"/>
      <c r="BB33" s="2390"/>
      <c r="BC33" s="2390"/>
      <c r="BD33" s="2390"/>
      <c r="BE33" s="2390"/>
      <c r="BF33" s="2390"/>
      <c r="BG33" s="2391"/>
      <c r="BH33" s="651"/>
      <c r="BI33" s="651"/>
      <c r="BJ33" s="651"/>
      <c r="BK33" s="651"/>
      <c r="BL33" s="651"/>
      <c r="BM33" s="651"/>
      <c r="BN33" s="651"/>
      <c r="BO33" s="651"/>
      <c r="BP33" s="651"/>
      <c r="BQ33" s="651"/>
      <c r="BR33" s="651"/>
    </row>
    <row r="34" spans="1:70" s="546" customFormat="1" ht="15" customHeight="1">
      <c r="A34" s="2354" t="s">
        <v>3089</v>
      </c>
      <c r="B34" s="2384"/>
      <c r="C34" s="2384"/>
      <c r="D34" s="2384"/>
      <c r="E34" s="2384"/>
      <c r="F34" s="2384"/>
      <c r="G34" s="2384"/>
      <c r="H34" s="2384"/>
      <c r="I34" s="2384"/>
      <c r="J34" s="2384"/>
      <c r="K34" s="2384"/>
      <c r="L34" s="2384"/>
      <c r="M34" s="2384"/>
      <c r="N34" s="2384"/>
      <c r="O34" s="2384"/>
      <c r="P34" s="2384"/>
      <c r="Q34" s="2384"/>
      <c r="R34" s="2384"/>
      <c r="S34" s="2384"/>
      <c r="T34" s="2384"/>
      <c r="U34" s="2384"/>
      <c r="V34" s="2384"/>
      <c r="W34" s="2384"/>
      <c r="X34" s="2384"/>
      <c r="Y34" s="2384"/>
      <c r="Z34" s="2384"/>
      <c r="AA34" s="2384"/>
      <c r="AB34" s="2384"/>
      <c r="AC34" s="2384"/>
      <c r="AD34" s="2384"/>
      <c r="AE34" s="2384"/>
      <c r="AF34" s="2384"/>
      <c r="AG34" s="2385"/>
      <c r="AH34" s="741"/>
      <c r="AI34" s="2429" t="s">
        <v>3090</v>
      </c>
      <c r="AJ34" s="2429"/>
      <c r="AK34" s="2429"/>
      <c r="AL34" s="2429"/>
      <c r="AM34" s="2429"/>
      <c r="AN34" s="2429"/>
      <c r="AO34" s="2429"/>
      <c r="AP34" s="2429"/>
      <c r="AQ34" s="2429"/>
      <c r="AR34" s="2429"/>
      <c r="AS34" s="2429"/>
      <c r="AT34" s="2429"/>
      <c r="AU34" s="2429"/>
      <c r="AV34" s="2429"/>
      <c r="AW34" s="2429"/>
      <c r="AX34" s="2429"/>
      <c r="AY34" s="2429"/>
      <c r="AZ34" s="2429"/>
      <c r="BA34" s="2429"/>
      <c r="BB34" s="2429"/>
      <c r="BC34" s="2429"/>
      <c r="BD34" s="2429"/>
      <c r="BE34" s="2429"/>
      <c r="BF34" s="2429"/>
      <c r="BG34" s="2430"/>
      <c r="BH34" s="651"/>
      <c r="BI34" s="651"/>
      <c r="BJ34" s="651"/>
      <c r="BK34" s="651"/>
      <c r="BL34" s="651"/>
      <c r="BM34" s="651"/>
      <c r="BN34" s="651"/>
      <c r="BO34" s="651"/>
      <c r="BP34" s="651"/>
      <c r="BQ34" s="651"/>
      <c r="BR34" s="651"/>
    </row>
    <row r="35" spans="1:70" s="546" customFormat="1" ht="20.100000000000001" customHeight="1">
      <c r="A35" s="739"/>
      <c r="B35" s="649"/>
      <c r="C35" s="2431"/>
      <c r="D35" s="2431"/>
      <c r="E35" s="2431"/>
      <c r="F35" s="2431"/>
      <c r="G35" s="2431"/>
      <c r="H35" s="2431"/>
      <c r="I35" s="2431"/>
      <c r="J35" s="2431"/>
      <c r="K35" s="2431"/>
      <c r="L35" s="2431"/>
      <c r="M35" s="2431"/>
      <c r="N35" s="2431"/>
      <c r="O35" s="2431"/>
      <c r="P35" s="752"/>
      <c r="Q35" s="2432" t="s">
        <v>3091</v>
      </c>
      <c r="R35" s="2432"/>
      <c r="S35" s="2432"/>
      <c r="T35" s="2432"/>
      <c r="U35" s="2432"/>
      <c r="V35" s="2432"/>
      <c r="W35" s="2432"/>
      <c r="X35" s="2432"/>
      <c r="Y35" s="2432"/>
      <c r="Z35" s="2432"/>
      <c r="AA35" s="2432"/>
      <c r="AB35" s="2432"/>
      <c r="AC35" s="2432"/>
      <c r="AD35" s="2432"/>
      <c r="AE35" s="649"/>
      <c r="AF35" s="649"/>
      <c r="AG35" s="745"/>
      <c r="AH35" s="2433"/>
      <c r="AI35" s="2434"/>
      <c r="AJ35" s="2434"/>
      <c r="AK35" s="2434"/>
      <c r="AL35" s="2434"/>
      <c r="AM35" s="2434"/>
      <c r="AN35" s="2434"/>
      <c r="AO35" s="2434"/>
      <c r="AP35" s="2434"/>
      <c r="AQ35" s="2434"/>
      <c r="AR35" s="2434"/>
      <c r="AS35" s="2436" t="s">
        <v>3092</v>
      </c>
      <c r="AT35" s="2437"/>
      <c r="AU35" s="2437"/>
      <c r="AV35" s="2437"/>
      <c r="AW35" s="2437"/>
      <c r="AX35" s="2437"/>
      <c r="AY35" s="2437"/>
      <c r="AZ35" s="2437"/>
      <c r="BA35" s="2437"/>
      <c r="BB35" s="2437"/>
      <c r="BC35" s="2437"/>
      <c r="BD35" s="2437"/>
      <c r="BE35" s="2437"/>
      <c r="BF35" s="2437"/>
      <c r="BG35" s="2438"/>
      <c r="BH35" s="651"/>
      <c r="BI35" s="651"/>
      <c r="BJ35" s="651"/>
      <c r="BK35" s="651"/>
      <c r="BL35" s="651"/>
      <c r="BM35" s="651"/>
      <c r="BN35" s="651"/>
      <c r="BO35" s="651"/>
      <c r="BP35" s="651"/>
      <c r="BQ35" s="651"/>
      <c r="BR35" s="651"/>
    </row>
    <row r="36" spans="1:70" s="546" customFormat="1" ht="24" customHeight="1">
      <c r="A36" s="753"/>
      <c r="B36" s="754"/>
      <c r="C36" s="2415" t="s">
        <v>3093</v>
      </c>
      <c r="D36" s="2342"/>
      <c r="E36" s="2342"/>
      <c r="F36" s="2342"/>
      <c r="G36" s="2342"/>
      <c r="H36" s="2342"/>
      <c r="I36" s="2342"/>
      <c r="J36" s="2342"/>
      <c r="K36" s="2342"/>
      <c r="L36" s="2439">
        <f>+IF(AND('1Př1'!F11=0,'1Př1'!F12=0),+'1Př1'!F14+'1Př1'!F15-'1Př1'!F17+'1Př1'!F19+'1Př1'!F22-('1Př1'!F12+'1Př1'!F16-'1Př1'!F18+'1Př1'!F20),+'1Př1'!F11+'1Př1'!F15-'1Př1'!F17+'1Př1'!F19+'1Př1'!F22-('1Př1'!F12+'1Př1'!F16-'1Př1'!F18+'1Př1'!F20))</f>
        <v>0</v>
      </c>
      <c r="M36" s="2440"/>
      <c r="N36" s="2440"/>
      <c r="O36" s="2440"/>
      <c r="P36" s="2440"/>
      <c r="Q36" s="2440"/>
      <c r="R36" s="2440"/>
      <c r="S36" s="2440"/>
      <c r="T36" s="2440"/>
      <c r="U36" s="2440"/>
      <c r="V36" s="2440"/>
      <c r="W36" s="2440"/>
      <c r="X36" s="2440"/>
      <c r="Y36" s="2440"/>
      <c r="Z36" s="2440"/>
      <c r="AA36" s="2440"/>
      <c r="AB36" s="2440"/>
      <c r="AC36" s="2441"/>
      <c r="AD36" s="2420" t="s">
        <v>186</v>
      </c>
      <c r="AE36" s="2342"/>
      <c r="AF36" s="2342"/>
      <c r="AG36" s="2400"/>
      <c r="AH36" s="2435"/>
      <c r="AI36" s="2390"/>
      <c r="AJ36" s="732"/>
      <c r="AK36" s="2415" t="s">
        <v>3094</v>
      </c>
      <c r="AL36" s="2416"/>
      <c r="AM36" s="2416"/>
      <c r="AN36" s="2416"/>
      <c r="AO36" s="2416"/>
      <c r="AP36" s="2416"/>
      <c r="AQ36" s="2416"/>
      <c r="AR36" s="2416"/>
      <c r="AS36" s="2416"/>
      <c r="AT36" s="2416"/>
      <c r="AU36" s="2417">
        <v>0</v>
      </c>
      <c r="AV36" s="2418"/>
      <c r="AW36" s="2418"/>
      <c r="AX36" s="2418"/>
      <c r="AY36" s="2418"/>
      <c r="AZ36" s="2418"/>
      <c r="BA36" s="2418"/>
      <c r="BB36" s="2418"/>
      <c r="BC36" s="2419"/>
      <c r="BD36" s="2420" t="s">
        <v>186</v>
      </c>
      <c r="BE36" s="2420"/>
      <c r="BF36" s="2420"/>
      <c r="BG36" s="2421"/>
      <c r="BH36" s="651"/>
      <c r="BI36" s="651"/>
      <c r="BJ36" s="651"/>
      <c r="BK36" s="651"/>
      <c r="BL36" s="651"/>
      <c r="BM36" s="651"/>
      <c r="BN36" s="651"/>
      <c r="BO36" s="651"/>
      <c r="BP36" s="651"/>
      <c r="BQ36" s="651"/>
      <c r="BR36" s="651"/>
    </row>
    <row r="37" spans="1:70" s="546" customFormat="1" ht="21" customHeight="1">
      <c r="A37" s="753"/>
      <c r="B37" s="754"/>
      <c r="C37" s="757"/>
      <c r="D37" s="757"/>
      <c r="E37" s="758"/>
      <c r="F37" s="758"/>
      <c r="G37" s="758"/>
      <c r="H37" s="758"/>
      <c r="I37" s="758"/>
      <c r="J37" s="758"/>
      <c r="K37" s="2422" t="s">
        <v>3095</v>
      </c>
      <c r="L37" s="2423"/>
      <c r="M37" s="2423"/>
      <c r="N37" s="2423"/>
      <c r="O37" s="2423"/>
      <c r="P37" s="2423"/>
      <c r="Q37" s="2423"/>
      <c r="R37" s="2423"/>
      <c r="S37" s="2423"/>
      <c r="T37" s="2423"/>
      <c r="U37" s="2423"/>
      <c r="V37" s="2423"/>
      <c r="W37" s="2423"/>
      <c r="X37" s="2423"/>
      <c r="Y37" s="2423"/>
      <c r="Z37" s="2423"/>
      <c r="AA37" s="2423"/>
      <c r="AB37" s="2423"/>
      <c r="AC37" s="2423"/>
      <c r="AD37" s="2423"/>
      <c r="AE37" s="2423"/>
      <c r="AF37" s="2423"/>
      <c r="AG37" s="2424"/>
      <c r="AH37" s="2435"/>
      <c r="AI37" s="2390"/>
      <c r="AJ37" s="2425"/>
      <c r="AK37" s="2396"/>
      <c r="AL37" s="2396"/>
      <c r="AM37" s="2396"/>
      <c r="AN37" s="2396"/>
      <c r="AO37" s="2396"/>
      <c r="AP37" s="2396"/>
      <c r="AQ37" s="2396"/>
      <c r="AR37" s="2396"/>
      <c r="AS37" s="2426" t="s">
        <v>3096</v>
      </c>
      <c r="AT37" s="2427"/>
      <c r="AU37" s="2427"/>
      <c r="AV37" s="2427"/>
      <c r="AW37" s="2427"/>
      <c r="AX37" s="2427"/>
      <c r="AY37" s="2427"/>
      <c r="AZ37" s="2427"/>
      <c r="BA37" s="2427"/>
      <c r="BB37" s="2427"/>
      <c r="BC37" s="2427"/>
      <c r="BD37" s="2427"/>
      <c r="BE37" s="2427"/>
      <c r="BF37" s="2427"/>
      <c r="BG37" s="2428"/>
      <c r="BH37" s="651"/>
      <c r="BI37" s="651"/>
      <c r="BJ37" s="651"/>
      <c r="BK37" s="651"/>
      <c r="BL37" s="651"/>
      <c r="BM37" s="651"/>
      <c r="BN37" s="651"/>
      <c r="BO37" s="651"/>
      <c r="BP37" s="651"/>
      <c r="BQ37" s="651"/>
      <c r="BR37" s="651"/>
    </row>
    <row r="38" spans="1:70" s="546" customFormat="1" ht="24" customHeight="1">
      <c r="A38" s="753"/>
      <c r="B38" s="754"/>
      <c r="C38" s="2415" t="s">
        <v>3097</v>
      </c>
      <c r="D38" s="2342"/>
      <c r="E38" s="2342"/>
      <c r="F38" s="2342"/>
      <c r="G38" s="2342"/>
      <c r="H38" s="2342"/>
      <c r="I38" s="2342"/>
      <c r="J38" s="2342"/>
      <c r="K38" s="2342"/>
      <c r="L38" s="2342"/>
      <c r="M38" s="2342"/>
      <c r="N38" s="2342"/>
      <c r="O38" s="2342"/>
      <c r="P38" s="2342"/>
      <c r="Q38" s="2342"/>
      <c r="R38" s="2342"/>
      <c r="S38" s="2342"/>
      <c r="T38" s="2342"/>
      <c r="U38" s="2449">
        <f>+'1Př2'!G3</f>
        <v>12</v>
      </c>
      <c r="V38" s="2450"/>
      <c r="W38" s="2450"/>
      <c r="X38" s="2451"/>
      <c r="Y38" s="2448"/>
      <c r="Z38" s="2342"/>
      <c r="AA38" s="2342"/>
      <c r="AB38" s="2342"/>
      <c r="AC38" s="2342"/>
      <c r="AD38" s="2342"/>
      <c r="AE38" s="2342"/>
      <c r="AF38" s="2342"/>
      <c r="AG38" s="2400"/>
      <c r="AH38" s="2435"/>
      <c r="AI38" s="2390"/>
      <c r="AJ38" s="732"/>
      <c r="AK38" s="2415" t="s">
        <v>3098</v>
      </c>
      <c r="AL38" s="2416"/>
      <c r="AM38" s="2416"/>
      <c r="AN38" s="2416"/>
      <c r="AO38" s="2416"/>
      <c r="AP38" s="2416"/>
      <c r="AQ38" s="2416"/>
      <c r="AR38" s="2416"/>
      <c r="AS38" s="2416"/>
      <c r="AT38" s="2416"/>
      <c r="AU38" s="2452">
        <f>+AU36-Q54</f>
        <v>-37712</v>
      </c>
      <c r="AV38" s="2453"/>
      <c r="AW38" s="2453"/>
      <c r="AX38" s="2453"/>
      <c r="AY38" s="2453"/>
      <c r="AZ38" s="2453"/>
      <c r="BA38" s="2453"/>
      <c r="BB38" s="2453"/>
      <c r="BC38" s="2454"/>
      <c r="BD38" s="2420" t="s">
        <v>186</v>
      </c>
      <c r="BE38" s="2420"/>
      <c r="BF38" s="2420"/>
      <c r="BG38" s="2421"/>
      <c r="BH38" s="651"/>
      <c r="BI38" s="651"/>
      <c r="BJ38" s="651"/>
      <c r="BK38" s="651"/>
      <c r="BL38" s="651"/>
      <c r="BM38" s="651"/>
      <c r="BN38" s="651"/>
      <c r="BO38" s="651"/>
      <c r="BP38" s="651"/>
      <c r="BQ38" s="651"/>
      <c r="BR38" s="651"/>
    </row>
    <row r="39" spans="1:70" s="546" customFormat="1" ht="21" customHeight="1">
      <c r="A39" s="753"/>
      <c r="B39" s="754"/>
      <c r="C39" s="757"/>
      <c r="D39" s="757"/>
      <c r="E39" s="758"/>
      <c r="F39" s="758"/>
      <c r="G39" s="758"/>
      <c r="H39" s="758"/>
      <c r="I39" s="758"/>
      <c r="J39" s="758"/>
      <c r="K39" s="2422" t="s">
        <v>3133</v>
      </c>
      <c r="L39" s="2423"/>
      <c r="M39" s="2423"/>
      <c r="N39" s="2423"/>
      <c r="O39" s="2423"/>
      <c r="P39" s="2423"/>
      <c r="Q39" s="2423"/>
      <c r="R39" s="2423"/>
      <c r="S39" s="2423"/>
      <c r="T39" s="2423"/>
      <c r="U39" s="2423"/>
      <c r="V39" s="2423"/>
      <c r="W39" s="2423"/>
      <c r="X39" s="2423"/>
      <c r="Y39" s="2423"/>
      <c r="Z39" s="2423"/>
      <c r="AA39" s="2423"/>
      <c r="AB39" s="2423"/>
      <c r="AC39" s="2423"/>
      <c r="AD39" s="2423"/>
      <c r="AE39" s="2423"/>
      <c r="AF39" s="2423"/>
      <c r="AG39" s="2424"/>
      <c r="AH39" s="2435"/>
      <c r="AI39" s="2390"/>
      <c r="AJ39" s="2425"/>
      <c r="AK39" s="2342"/>
      <c r="AL39" s="2342"/>
      <c r="AM39" s="2342"/>
      <c r="AN39" s="2342"/>
      <c r="AO39" s="2342"/>
      <c r="AP39" s="2342"/>
      <c r="AQ39" s="2342"/>
      <c r="AR39" s="2342"/>
      <c r="AS39" s="2342"/>
      <c r="AT39" s="2342"/>
      <c r="AU39" s="2342"/>
      <c r="AV39" s="2342"/>
      <c r="AW39" s="2342"/>
      <c r="AX39" s="2342"/>
      <c r="AY39" s="2342"/>
      <c r="AZ39" s="2342"/>
      <c r="BA39" s="2342"/>
      <c r="BB39" s="2342"/>
      <c r="BC39" s="2342"/>
      <c r="BD39" s="2342"/>
      <c r="BE39" s="2342"/>
      <c r="BF39" s="2342"/>
      <c r="BG39" s="2400"/>
      <c r="BH39" s="651"/>
      <c r="BI39" s="651"/>
      <c r="BJ39" s="651"/>
      <c r="BK39" s="651"/>
      <c r="BL39" s="651"/>
      <c r="BM39" s="651"/>
      <c r="BN39" s="651"/>
      <c r="BO39" s="651"/>
      <c r="BP39" s="651"/>
      <c r="BQ39" s="651"/>
      <c r="BR39" s="651"/>
    </row>
    <row r="40" spans="1:70" s="546" customFormat="1" ht="10.5" customHeight="1">
      <c r="A40" s="760"/>
      <c r="B40" s="754"/>
      <c r="C40" s="2415" t="s">
        <v>3100</v>
      </c>
      <c r="D40" s="2342"/>
      <c r="E40" s="2342"/>
      <c r="F40" s="2342"/>
      <c r="G40" s="2342"/>
      <c r="H40" s="2342"/>
      <c r="I40" s="2342"/>
      <c r="J40" s="2342"/>
      <c r="K40" s="2342"/>
      <c r="L40" s="2342"/>
      <c r="M40" s="2342"/>
      <c r="N40" s="2342"/>
      <c r="O40" s="2342"/>
      <c r="P40" s="2342"/>
      <c r="Q40" s="2342"/>
      <c r="R40" s="2342"/>
      <c r="S40" s="2342"/>
      <c r="T40" s="2342"/>
      <c r="U40" s="2442">
        <v>12</v>
      </c>
      <c r="V40" s="2443"/>
      <c r="W40" s="2443"/>
      <c r="X40" s="2444"/>
      <c r="Y40" s="2448"/>
      <c r="Z40" s="2342"/>
      <c r="AA40" s="2342"/>
      <c r="AB40" s="2342"/>
      <c r="AC40" s="2342"/>
      <c r="AD40" s="2342"/>
      <c r="AE40" s="2342"/>
      <c r="AF40" s="2342"/>
      <c r="AG40" s="2400"/>
      <c r="AH40" s="2435"/>
      <c r="AI40" s="2390"/>
      <c r="AJ40" s="2420" t="s">
        <v>3101</v>
      </c>
      <c r="AK40" s="2420"/>
      <c r="AL40" s="2420"/>
      <c r="AM40" s="2420"/>
      <c r="AN40" s="2420"/>
      <c r="AO40" s="2420"/>
      <c r="AP40" s="2420"/>
      <c r="AQ40" s="2420"/>
      <c r="AR40" s="2420"/>
      <c r="AS40" s="2420"/>
      <c r="AT40" s="2420"/>
      <c r="AU40" s="2420"/>
      <c r="AV40" s="2420"/>
      <c r="AW40" s="2420"/>
      <c r="AX40" s="2420"/>
      <c r="AY40" s="2420"/>
      <c r="AZ40" s="2420"/>
      <c r="BA40" s="2420"/>
      <c r="BB40" s="2420"/>
      <c r="BC40" s="2420"/>
      <c r="BD40" s="2420"/>
      <c r="BE40" s="2420"/>
      <c r="BF40" s="2420"/>
      <c r="BG40" s="2421"/>
      <c r="BH40" s="651"/>
      <c r="BI40" s="651"/>
      <c r="BJ40" s="651"/>
      <c r="BK40" s="651"/>
      <c r="BL40" s="651"/>
      <c r="BM40" s="651"/>
      <c r="BN40" s="651"/>
      <c r="BO40" s="651"/>
      <c r="BP40" s="651"/>
      <c r="BQ40" s="651"/>
      <c r="BR40" s="651"/>
    </row>
    <row r="41" spans="1:70" s="546" customFormat="1" ht="13.5" customHeight="1">
      <c r="A41" s="760"/>
      <c r="B41" s="754"/>
      <c r="C41" s="2342"/>
      <c r="D41" s="2342"/>
      <c r="E41" s="2342"/>
      <c r="F41" s="2342"/>
      <c r="G41" s="2342"/>
      <c r="H41" s="2342"/>
      <c r="I41" s="2342"/>
      <c r="J41" s="2342"/>
      <c r="K41" s="2342"/>
      <c r="L41" s="2342"/>
      <c r="M41" s="2342"/>
      <c r="N41" s="2342"/>
      <c r="O41" s="2342"/>
      <c r="P41" s="2342"/>
      <c r="Q41" s="2342"/>
      <c r="R41" s="2342"/>
      <c r="S41" s="2342"/>
      <c r="T41" s="2342"/>
      <c r="U41" s="2445"/>
      <c r="V41" s="2446"/>
      <c r="W41" s="2446"/>
      <c r="X41" s="2447"/>
      <c r="Y41" s="2342"/>
      <c r="Z41" s="2342"/>
      <c r="AA41" s="2342"/>
      <c r="AB41" s="2342"/>
      <c r="AC41" s="2342"/>
      <c r="AD41" s="2342"/>
      <c r="AE41" s="2342"/>
      <c r="AF41" s="2342"/>
      <c r="AG41" s="2400"/>
      <c r="AH41" s="756"/>
      <c r="AI41" s="730" t="str">
        <f>+IF(AU38&lt;0,"X"," ")</f>
        <v>X</v>
      </c>
      <c r="AJ41" s="2342" t="s">
        <v>3129</v>
      </c>
      <c r="AK41" s="2342"/>
      <c r="AL41" s="2342"/>
      <c r="AM41" s="2342"/>
      <c r="AN41" s="2342"/>
      <c r="AO41" s="2342"/>
      <c r="AP41" s="2342"/>
      <c r="AQ41" s="2342"/>
      <c r="AR41" s="2342"/>
      <c r="AS41" s="2342"/>
      <c r="AT41" s="2342"/>
      <c r="AU41" s="2342"/>
      <c r="AV41" s="2342"/>
      <c r="AW41" s="2342"/>
      <c r="AX41" s="2342"/>
      <c r="AY41" s="2342"/>
      <c r="AZ41" s="2342"/>
      <c r="BA41" s="2342"/>
      <c r="BB41" s="2342"/>
      <c r="BC41" s="2342"/>
      <c r="BD41" s="2342"/>
      <c r="BE41" s="2342"/>
      <c r="BF41" s="2342"/>
      <c r="BG41" s="2400"/>
      <c r="BH41" s="651"/>
      <c r="BI41" s="651"/>
      <c r="BJ41" s="651"/>
      <c r="BK41" s="651"/>
      <c r="BL41" s="651"/>
      <c r="BM41" s="651"/>
      <c r="BN41" s="651"/>
      <c r="BO41" s="651"/>
      <c r="BP41" s="651"/>
      <c r="BQ41" s="651"/>
      <c r="BR41" s="651"/>
    </row>
    <row r="42" spans="1:70" s="546" customFormat="1" ht="7.5" customHeight="1">
      <c r="A42" s="760"/>
      <c r="B42" s="754"/>
      <c r="C42" s="755"/>
      <c r="D42" s="2393" t="s">
        <v>3103</v>
      </c>
      <c r="E42" s="2393"/>
      <c r="F42" s="2393"/>
      <c r="G42" s="2393"/>
      <c r="H42" s="2393"/>
      <c r="I42" s="2393"/>
      <c r="J42" s="2393"/>
      <c r="K42" s="2393"/>
      <c r="L42" s="2393"/>
      <c r="M42" s="2393"/>
      <c r="N42" s="2393"/>
      <c r="O42" s="2393"/>
      <c r="P42" s="2393"/>
      <c r="Q42" s="2393"/>
      <c r="R42" s="2393"/>
      <c r="S42" s="2393"/>
      <c r="T42" s="2393"/>
      <c r="U42" s="2393"/>
      <c r="V42" s="2393"/>
      <c r="W42" s="2393"/>
      <c r="X42" s="2393"/>
      <c r="Y42" s="2393"/>
      <c r="Z42" s="2393"/>
      <c r="AA42" s="2393"/>
      <c r="AB42" s="2393"/>
      <c r="AC42" s="2393"/>
      <c r="AD42" s="2393"/>
      <c r="AE42" s="2393"/>
      <c r="AF42" s="2393"/>
      <c r="AG42" s="2455"/>
      <c r="AH42" s="756"/>
      <c r="AI42" s="744"/>
      <c r="AJ42" s="732"/>
      <c r="AK42" s="732"/>
      <c r="AL42" s="732"/>
      <c r="AM42" s="761"/>
      <c r="AN42" s="761"/>
      <c r="AO42" s="761"/>
      <c r="AP42" s="761"/>
      <c r="AQ42" s="761"/>
      <c r="AR42" s="761"/>
      <c r="AS42" s="761"/>
      <c r="AT42" s="761"/>
      <c r="AU42" s="2456">
        <f>+MAX(0,AU38)</f>
        <v>0</v>
      </c>
      <c r="AV42" s="2457"/>
      <c r="AW42" s="2457"/>
      <c r="AX42" s="2457"/>
      <c r="AY42" s="2457"/>
      <c r="AZ42" s="2457"/>
      <c r="BA42" s="2457"/>
      <c r="BB42" s="2457"/>
      <c r="BC42" s="2458"/>
      <c r="BD42" s="2462" t="s">
        <v>186</v>
      </c>
      <c r="BE42" s="2342"/>
      <c r="BF42" s="2342"/>
      <c r="BG42" s="2400"/>
      <c r="BH42" s="651"/>
      <c r="BI42" s="651"/>
      <c r="BJ42" s="651"/>
      <c r="BK42" s="651"/>
      <c r="BL42" s="651"/>
      <c r="BM42" s="651"/>
      <c r="BN42" s="651"/>
      <c r="BO42" s="651"/>
      <c r="BP42" s="651"/>
      <c r="BQ42" s="651"/>
      <c r="BR42" s="651"/>
    </row>
    <row r="43" spans="1:70" s="546" customFormat="1" ht="13.5" customHeight="1">
      <c r="A43" s="753"/>
      <c r="B43" s="754"/>
      <c r="C43" s="762"/>
      <c r="D43" s="2393"/>
      <c r="E43" s="2393"/>
      <c r="F43" s="2393"/>
      <c r="G43" s="2393"/>
      <c r="H43" s="2393"/>
      <c r="I43" s="2393"/>
      <c r="J43" s="2393"/>
      <c r="K43" s="2393"/>
      <c r="L43" s="2393"/>
      <c r="M43" s="2393"/>
      <c r="N43" s="2393"/>
      <c r="O43" s="2393"/>
      <c r="P43" s="2393"/>
      <c r="Q43" s="2393"/>
      <c r="R43" s="2393"/>
      <c r="S43" s="2393"/>
      <c r="T43" s="2393"/>
      <c r="U43" s="2393"/>
      <c r="V43" s="2393"/>
      <c r="W43" s="2393"/>
      <c r="X43" s="2393"/>
      <c r="Y43" s="2393"/>
      <c r="Z43" s="2393"/>
      <c r="AA43" s="2393"/>
      <c r="AB43" s="2393"/>
      <c r="AC43" s="2393"/>
      <c r="AD43" s="2393"/>
      <c r="AE43" s="2393"/>
      <c r="AF43" s="2393"/>
      <c r="AG43" s="2455"/>
      <c r="AH43" s="763"/>
      <c r="AI43" s="730" t="str">
        <f>+IF(AU38&gt;0,"X"," ")</f>
        <v xml:space="preserve"> </v>
      </c>
      <c r="AJ43" s="2463" t="s">
        <v>3130</v>
      </c>
      <c r="AK43" s="2390"/>
      <c r="AL43" s="2390"/>
      <c r="AM43" s="2390"/>
      <c r="AN43" s="2390"/>
      <c r="AO43" s="2390"/>
      <c r="AP43" s="2390"/>
      <c r="AQ43" s="2390"/>
      <c r="AR43" s="2390"/>
      <c r="AS43" s="2390"/>
      <c r="AT43" s="2390"/>
      <c r="AU43" s="2459"/>
      <c r="AV43" s="2460"/>
      <c r="AW43" s="2460"/>
      <c r="AX43" s="2460"/>
      <c r="AY43" s="2460"/>
      <c r="AZ43" s="2460"/>
      <c r="BA43" s="2460"/>
      <c r="BB43" s="2460"/>
      <c r="BC43" s="2461"/>
      <c r="BD43" s="2342"/>
      <c r="BE43" s="2342"/>
      <c r="BF43" s="2342"/>
      <c r="BG43" s="2400"/>
      <c r="BH43" s="651"/>
    </row>
    <row r="44" spans="1:70" s="546" customFormat="1" ht="10.5" customHeight="1">
      <c r="A44" s="753"/>
      <c r="B44" s="754"/>
      <c r="C44" s="2415" t="s">
        <v>3105</v>
      </c>
      <c r="D44" s="2342"/>
      <c r="E44" s="2342"/>
      <c r="F44" s="2342"/>
      <c r="G44" s="2342"/>
      <c r="H44" s="2342"/>
      <c r="I44" s="2342"/>
      <c r="J44" s="2342"/>
      <c r="K44" s="2342"/>
      <c r="L44" s="2342"/>
      <c r="M44" s="2342"/>
      <c r="N44" s="2342"/>
      <c r="O44" s="2342"/>
      <c r="P44" s="2342"/>
      <c r="Q44" s="2342"/>
      <c r="R44" s="2342"/>
      <c r="S44" s="2342"/>
      <c r="T44" s="2342"/>
      <c r="U44" s="2442">
        <f>12-CA30</f>
        <v>12</v>
      </c>
      <c r="V44" s="2443"/>
      <c r="W44" s="2443"/>
      <c r="X44" s="2444"/>
      <c r="Y44" s="2448"/>
      <c r="Z44" s="2342"/>
      <c r="AA44" s="2342"/>
      <c r="AB44" s="2342"/>
      <c r="AC44" s="2342"/>
      <c r="AD44" s="2342"/>
      <c r="AE44" s="2342"/>
      <c r="AF44" s="2342"/>
      <c r="AG44" s="2400"/>
      <c r="AH44" s="2464"/>
      <c r="AI44" s="2342"/>
      <c r="AJ44" s="2342"/>
      <c r="AK44" s="2342"/>
      <c r="AL44" s="2342"/>
      <c r="AM44" s="2342"/>
      <c r="AN44" s="2342"/>
      <c r="AO44" s="2342"/>
      <c r="AP44" s="2342"/>
      <c r="AQ44" s="2342"/>
      <c r="AR44" s="2342"/>
      <c r="AS44" s="2342"/>
      <c r="AT44" s="2342"/>
      <c r="AU44" s="2342"/>
      <c r="AV44" s="2342"/>
      <c r="AW44" s="2342"/>
      <c r="AX44" s="2342"/>
      <c r="AY44" s="2342"/>
      <c r="AZ44" s="2342"/>
      <c r="BA44" s="2342"/>
      <c r="BB44" s="2342"/>
      <c r="BC44" s="2342"/>
      <c r="BD44" s="2342"/>
      <c r="BE44" s="2342"/>
      <c r="BF44" s="2342"/>
      <c r="BG44" s="2400"/>
      <c r="BH44" s="651"/>
    </row>
    <row r="45" spans="1:70" s="546" customFormat="1" ht="13.5" customHeight="1">
      <c r="A45" s="753"/>
      <c r="B45" s="754"/>
      <c r="C45" s="2342"/>
      <c r="D45" s="2342"/>
      <c r="E45" s="2342"/>
      <c r="F45" s="2342"/>
      <c r="G45" s="2342"/>
      <c r="H45" s="2342"/>
      <c r="I45" s="2342"/>
      <c r="J45" s="2342"/>
      <c r="K45" s="2342"/>
      <c r="L45" s="2342"/>
      <c r="M45" s="2342"/>
      <c r="N45" s="2342"/>
      <c r="O45" s="2342"/>
      <c r="P45" s="2342"/>
      <c r="Q45" s="2342"/>
      <c r="R45" s="2342"/>
      <c r="S45" s="2342"/>
      <c r="T45" s="2342"/>
      <c r="U45" s="2445"/>
      <c r="V45" s="2446"/>
      <c r="W45" s="2446"/>
      <c r="X45" s="2447"/>
      <c r="Y45" s="2342"/>
      <c r="Z45" s="2342"/>
      <c r="AA45" s="2342"/>
      <c r="AB45" s="2342"/>
      <c r="AC45" s="2342"/>
      <c r="AD45" s="2342"/>
      <c r="AE45" s="2342"/>
      <c r="AF45" s="2342"/>
      <c r="AG45" s="2400"/>
      <c r="AH45" s="764"/>
      <c r="AI45" s="2465" t="s">
        <v>3106</v>
      </c>
      <c r="AJ45" s="2465"/>
      <c r="AK45" s="2465"/>
      <c r="AL45" s="2465"/>
      <c r="AM45" s="2465"/>
      <c r="AN45" s="2465"/>
      <c r="AO45" s="2465"/>
      <c r="AP45" s="2465"/>
      <c r="AQ45" s="2465"/>
      <c r="AR45" s="2465"/>
      <c r="AS45" s="730" t="str">
        <f>+AI43</f>
        <v xml:space="preserve"> </v>
      </c>
      <c r="AT45" s="2466" t="s">
        <v>3107</v>
      </c>
      <c r="AU45" s="2342"/>
      <c r="AV45" s="2342"/>
      <c r="AW45" s="2342"/>
      <c r="AX45" s="2342"/>
      <c r="AY45" s="2342"/>
      <c r="AZ45" s="2342"/>
      <c r="BA45" s="2342"/>
      <c r="BB45" s="2342"/>
      <c r="BC45" s="2342"/>
      <c r="BD45" s="2342"/>
      <c r="BE45" s="2342"/>
      <c r="BF45" s="2342"/>
      <c r="BG45" s="2400"/>
      <c r="BH45" s="651"/>
    </row>
    <row r="46" spans="1:70" s="546" customFormat="1" ht="15.95" customHeight="1">
      <c r="A46" s="753"/>
      <c r="B46" s="754"/>
      <c r="C46" s="2462"/>
      <c r="D46" s="2462"/>
      <c r="E46" s="2462"/>
      <c r="F46" s="2462"/>
      <c r="G46" s="2462"/>
      <c r="H46" s="2462"/>
      <c r="I46" s="2462"/>
      <c r="J46" s="2462"/>
      <c r="K46" s="2462"/>
      <c r="L46" s="2462"/>
      <c r="M46" s="2462"/>
      <c r="N46" s="2462"/>
      <c r="O46" s="2462"/>
      <c r="P46" s="761"/>
      <c r="Q46" s="2467" t="s">
        <v>3108</v>
      </c>
      <c r="R46" s="2467"/>
      <c r="S46" s="2467"/>
      <c r="T46" s="2467"/>
      <c r="U46" s="2467"/>
      <c r="V46" s="2467"/>
      <c r="W46" s="2467"/>
      <c r="X46" s="2467"/>
      <c r="Y46" s="2467"/>
      <c r="Z46" s="2467"/>
      <c r="AA46" s="2467"/>
      <c r="AB46" s="2467"/>
      <c r="AC46" s="2467"/>
      <c r="AD46" s="2467"/>
      <c r="AE46" s="754"/>
      <c r="AF46" s="754"/>
      <c r="AG46" s="750"/>
      <c r="AH46" s="764"/>
      <c r="AI46" s="2465"/>
      <c r="AJ46" s="2465"/>
      <c r="AK46" s="2465"/>
      <c r="AL46" s="2465"/>
      <c r="AM46" s="2465"/>
      <c r="AN46" s="2465"/>
      <c r="AO46" s="2465"/>
      <c r="AP46" s="2465"/>
      <c r="AQ46" s="2465"/>
      <c r="AR46" s="2465"/>
      <c r="AS46" s="730"/>
      <c r="AT46" s="2466" t="s">
        <v>3109</v>
      </c>
      <c r="AU46" s="2342"/>
      <c r="AV46" s="2342"/>
      <c r="AW46" s="2342"/>
      <c r="AX46" s="2342"/>
      <c r="AY46" s="2342"/>
      <c r="AZ46" s="2342"/>
      <c r="BA46" s="2342"/>
      <c r="BB46" s="2342"/>
      <c r="BC46" s="2342"/>
      <c r="BD46" s="2342"/>
      <c r="BE46" s="2342"/>
      <c r="BF46" s="2342"/>
      <c r="BG46" s="2400"/>
      <c r="BH46" s="651"/>
    </row>
    <row r="47" spans="1:70" s="546" customFormat="1" ht="9" customHeight="1">
      <c r="A47" s="753"/>
      <c r="B47" s="754"/>
      <c r="C47" s="2415" t="s">
        <v>3110</v>
      </c>
      <c r="D47" s="2342"/>
      <c r="E47" s="2342"/>
      <c r="F47" s="2342"/>
      <c r="G47" s="2342"/>
      <c r="H47" s="2342"/>
      <c r="I47" s="2342"/>
      <c r="J47" s="2342"/>
      <c r="K47" s="2342"/>
      <c r="L47" s="2468">
        <f>+U44*23278.5</f>
        <v>279342</v>
      </c>
      <c r="M47" s="2469"/>
      <c r="N47" s="2469"/>
      <c r="O47" s="2469"/>
      <c r="P47" s="2469"/>
      <c r="Q47" s="2469"/>
      <c r="R47" s="2469"/>
      <c r="S47" s="2469"/>
      <c r="T47" s="2469"/>
      <c r="U47" s="2469"/>
      <c r="V47" s="2469"/>
      <c r="W47" s="2469"/>
      <c r="X47" s="2469"/>
      <c r="Y47" s="2469"/>
      <c r="Z47" s="2469"/>
      <c r="AA47" s="2469"/>
      <c r="AB47" s="2469"/>
      <c r="AC47" s="2470"/>
      <c r="AD47" s="2420" t="s">
        <v>186</v>
      </c>
      <c r="AE47" s="2342"/>
      <c r="AF47" s="2342"/>
      <c r="AG47" s="2400"/>
      <c r="AH47" s="765"/>
      <c r="AI47" s="2420"/>
      <c r="AJ47" s="2342"/>
      <c r="AK47" s="2342"/>
      <c r="AL47" s="2342"/>
      <c r="AM47" s="2342"/>
      <c r="AN47" s="2342"/>
      <c r="AO47" s="2342"/>
      <c r="AP47" s="2342"/>
      <c r="AQ47" s="2342"/>
      <c r="AR47" s="2342"/>
      <c r="AS47" s="2342"/>
      <c r="AT47" s="2342"/>
      <c r="AU47" s="2342"/>
      <c r="AV47" s="2342"/>
      <c r="AW47" s="2342"/>
      <c r="AX47" s="2342"/>
      <c r="AY47" s="2342"/>
      <c r="AZ47" s="2342"/>
      <c r="BA47" s="2342"/>
      <c r="BB47" s="2342"/>
      <c r="BC47" s="2342"/>
      <c r="BD47" s="2342"/>
      <c r="BE47" s="2342"/>
      <c r="BF47" s="2342"/>
      <c r="BG47" s="2400"/>
      <c r="BH47" s="651"/>
    </row>
    <row r="48" spans="1:70" s="546" customFormat="1" ht="15" customHeight="1">
      <c r="A48" s="753"/>
      <c r="B48" s="754"/>
      <c r="C48" s="2342"/>
      <c r="D48" s="2342"/>
      <c r="E48" s="2342"/>
      <c r="F48" s="2342"/>
      <c r="G48" s="2342"/>
      <c r="H48" s="2342"/>
      <c r="I48" s="2342"/>
      <c r="J48" s="2342"/>
      <c r="K48" s="2342"/>
      <c r="L48" s="2471"/>
      <c r="M48" s="2472"/>
      <c r="N48" s="2472"/>
      <c r="O48" s="2472"/>
      <c r="P48" s="2472"/>
      <c r="Q48" s="2472"/>
      <c r="R48" s="2472"/>
      <c r="S48" s="2472"/>
      <c r="T48" s="2472"/>
      <c r="U48" s="2472"/>
      <c r="V48" s="2472"/>
      <c r="W48" s="2472"/>
      <c r="X48" s="2472"/>
      <c r="Y48" s="2472"/>
      <c r="Z48" s="2472"/>
      <c r="AA48" s="2472"/>
      <c r="AB48" s="2472"/>
      <c r="AC48" s="2473"/>
      <c r="AD48" s="2342"/>
      <c r="AE48" s="2342"/>
      <c r="AF48" s="2342"/>
      <c r="AG48" s="2400"/>
      <c r="AH48" s="2354" t="s">
        <v>3111</v>
      </c>
      <c r="AI48" s="2355"/>
      <c r="AJ48" s="2355"/>
      <c r="AK48" s="2355"/>
      <c r="AL48" s="2355"/>
      <c r="AM48" s="2355"/>
      <c r="AN48" s="2355"/>
      <c r="AO48" s="2355"/>
      <c r="AP48" s="2355"/>
      <c r="AQ48" s="2355"/>
      <c r="AR48" s="2355"/>
      <c r="AS48" s="2355"/>
      <c r="AT48" s="2355"/>
      <c r="AU48" s="2355"/>
      <c r="AV48" s="2355"/>
      <c r="AW48" s="2355"/>
      <c r="AX48" s="2355"/>
      <c r="AY48" s="2384"/>
      <c r="AZ48" s="2384"/>
      <c r="BA48" s="2384"/>
      <c r="BB48" s="2384"/>
      <c r="BC48" s="2384"/>
      <c r="BD48" s="2384"/>
      <c r="BE48" s="2384"/>
      <c r="BF48" s="2384"/>
      <c r="BG48" s="2385"/>
      <c r="BH48" s="651"/>
    </row>
    <row r="49" spans="1:60" s="546" customFormat="1" ht="4.5" customHeight="1">
      <c r="A49" s="2474" t="s">
        <v>3112</v>
      </c>
      <c r="B49" s="2393"/>
      <c r="C49" s="2393"/>
      <c r="D49" s="2393"/>
      <c r="E49" s="2393"/>
      <c r="F49" s="2393"/>
      <c r="G49" s="2393"/>
      <c r="H49" s="2393"/>
      <c r="I49" s="2393"/>
      <c r="J49" s="2393"/>
      <c r="K49" s="2393"/>
      <c r="L49" s="2393"/>
      <c r="M49" s="2393"/>
      <c r="N49" s="2393"/>
      <c r="O49" s="2393"/>
      <c r="P49" s="2393"/>
      <c r="Q49" s="2393"/>
      <c r="R49" s="2393"/>
      <c r="S49" s="2393"/>
      <c r="T49" s="2393"/>
      <c r="U49" s="2393"/>
      <c r="V49" s="2393"/>
      <c r="W49" s="2393"/>
      <c r="X49" s="2393"/>
      <c r="Y49" s="2393"/>
      <c r="Z49" s="2393"/>
      <c r="AA49" s="2393"/>
      <c r="AB49" s="2393"/>
      <c r="AC49" s="2393"/>
      <c r="AD49" s="2393"/>
      <c r="AE49" s="2393"/>
      <c r="AF49" s="2393"/>
      <c r="AG49" s="2455"/>
      <c r="AH49" s="2390"/>
      <c r="AI49" s="2390"/>
      <c r="AJ49" s="2390"/>
      <c r="AK49" s="2390"/>
      <c r="AL49" s="2390"/>
      <c r="AM49" s="2390"/>
      <c r="AN49" s="2390"/>
      <c r="AO49" s="2390"/>
      <c r="AP49" s="2390"/>
      <c r="AQ49" s="2390"/>
      <c r="AR49" s="2390"/>
      <c r="AS49" s="2390"/>
      <c r="AT49" s="2390"/>
      <c r="AU49" s="2390"/>
      <c r="AV49" s="2390"/>
      <c r="AW49" s="2390"/>
      <c r="AX49" s="2390"/>
      <c r="AY49" s="2390"/>
      <c r="AZ49" s="2390"/>
      <c r="BA49" s="2390"/>
      <c r="BB49" s="2390"/>
      <c r="BC49" s="2390"/>
      <c r="BD49" s="2390"/>
      <c r="BE49" s="2390"/>
      <c r="BF49" s="2390"/>
      <c r="BG49" s="2391"/>
      <c r="BH49" s="651"/>
    </row>
    <row r="50" spans="1:60" s="546" customFormat="1" ht="15" customHeight="1">
      <c r="A50" s="2475"/>
      <c r="B50" s="2393"/>
      <c r="C50" s="2393"/>
      <c r="D50" s="2393"/>
      <c r="E50" s="2393"/>
      <c r="F50" s="2393"/>
      <c r="G50" s="2393"/>
      <c r="H50" s="2393"/>
      <c r="I50" s="2393"/>
      <c r="J50" s="2393"/>
      <c r="K50" s="2393"/>
      <c r="L50" s="2393"/>
      <c r="M50" s="2393"/>
      <c r="N50" s="2393"/>
      <c r="O50" s="2393"/>
      <c r="P50" s="2393"/>
      <c r="Q50" s="2393"/>
      <c r="R50" s="2393"/>
      <c r="S50" s="2393"/>
      <c r="T50" s="2393"/>
      <c r="U50" s="2393"/>
      <c r="V50" s="2393"/>
      <c r="W50" s="2393"/>
      <c r="X50" s="2393"/>
      <c r="Y50" s="2393"/>
      <c r="Z50" s="2393"/>
      <c r="AA50" s="2393"/>
      <c r="AB50" s="2393"/>
      <c r="AC50" s="2393"/>
      <c r="AD50" s="2393"/>
      <c r="AE50" s="2393"/>
      <c r="AF50" s="2393"/>
      <c r="AG50" s="2455"/>
      <c r="AH50" s="2476"/>
      <c r="AI50" s="2477"/>
      <c r="AJ50" s="2477"/>
      <c r="AK50" s="2477"/>
      <c r="AL50" s="2477"/>
      <c r="AM50" s="2477"/>
      <c r="AN50" s="2477"/>
      <c r="AO50" s="2477"/>
      <c r="AP50" s="2477"/>
      <c r="AQ50" s="2477"/>
      <c r="AR50" s="2478" t="s">
        <v>3113</v>
      </c>
      <c r="AS50" s="2478"/>
      <c r="AT50" s="2478"/>
      <c r="AU50" s="2478"/>
      <c r="AV50" s="2478"/>
      <c r="AW50" s="2478"/>
      <c r="AX50" s="2478"/>
      <c r="AY50" s="2478"/>
      <c r="AZ50" s="2478"/>
      <c r="BA50" s="2478"/>
      <c r="BB50" s="2478"/>
      <c r="BC50" s="2478"/>
      <c r="BD50" s="2478"/>
      <c r="BE50" s="2478"/>
      <c r="BF50" s="2478"/>
      <c r="BG50" s="770"/>
      <c r="BH50" s="651"/>
    </row>
    <row r="51" spans="1:60" s="546" customFormat="1" ht="24" customHeight="1">
      <c r="A51" s="753"/>
      <c r="B51" s="754"/>
      <c r="C51" s="2415" t="s">
        <v>3114</v>
      </c>
      <c r="D51" s="2342"/>
      <c r="E51" s="2342"/>
      <c r="F51" s="2342"/>
      <c r="G51" s="2342"/>
      <c r="H51" s="2342"/>
      <c r="I51" s="2342"/>
      <c r="J51" s="2342"/>
      <c r="K51" s="2342"/>
      <c r="L51" s="2511">
        <f>+MAX(L47,+L36*0.5)</f>
        <v>279342</v>
      </c>
      <c r="M51" s="2512"/>
      <c r="N51" s="2512"/>
      <c r="O51" s="2512"/>
      <c r="P51" s="2512"/>
      <c r="Q51" s="2512"/>
      <c r="R51" s="2512"/>
      <c r="S51" s="2512"/>
      <c r="T51" s="2512"/>
      <c r="U51" s="2512"/>
      <c r="V51" s="2512"/>
      <c r="W51" s="2512"/>
      <c r="X51" s="2512"/>
      <c r="Y51" s="2512"/>
      <c r="Z51" s="2512"/>
      <c r="AA51" s="2512"/>
      <c r="AB51" s="2512"/>
      <c r="AC51" s="2513"/>
      <c r="AD51" s="2420" t="s">
        <v>186</v>
      </c>
      <c r="AE51" s="2342"/>
      <c r="AF51" s="2342"/>
      <c r="AG51" s="2400"/>
      <c r="AH51" s="2514"/>
      <c r="AI51" s="2480"/>
      <c r="AJ51" s="772"/>
      <c r="AK51" s="2517" t="s">
        <v>3115</v>
      </c>
      <c r="AL51" s="2518"/>
      <c r="AM51" s="2518"/>
      <c r="AN51" s="2518"/>
      <c r="AO51" s="2518"/>
      <c r="AP51" s="2518"/>
      <c r="AQ51" s="2518"/>
      <c r="AR51" s="2518"/>
      <c r="AS51" s="2518"/>
      <c r="AT51" s="2518"/>
      <c r="AU51" s="2452">
        <f>+CEILING(0.135*0.5*MAX(0,L36)/U38,1)</f>
        <v>0</v>
      </c>
      <c r="AV51" s="2453"/>
      <c r="AW51" s="2453"/>
      <c r="AX51" s="2453"/>
      <c r="AY51" s="2453"/>
      <c r="AZ51" s="2453"/>
      <c r="BA51" s="2453"/>
      <c r="BB51" s="2453"/>
      <c r="BC51" s="2454"/>
      <c r="BD51" s="2487" t="s">
        <v>186</v>
      </c>
      <c r="BE51" s="2482"/>
      <c r="BF51" s="2482"/>
      <c r="BG51" s="2488"/>
      <c r="BH51" s="651"/>
    </row>
    <row r="52" spans="1:60" s="546" customFormat="1" ht="15.95" customHeight="1">
      <c r="A52" s="773"/>
      <c r="B52" s="774"/>
      <c r="C52" s="766"/>
      <c r="D52" s="766"/>
      <c r="E52" s="766"/>
      <c r="F52" s="766"/>
      <c r="G52" s="766"/>
      <c r="H52" s="766"/>
      <c r="I52" s="766"/>
      <c r="J52" s="766"/>
      <c r="K52" s="766"/>
      <c r="L52" s="766"/>
      <c r="M52" s="766"/>
      <c r="N52" s="766"/>
      <c r="O52" s="766"/>
      <c r="P52" s="766"/>
      <c r="Q52" s="766"/>
      <c r="R52" s="766"/>
      <c r="S52" s="766"/>
      <c r="T52" s="766"/>
      <c r="U52" s="766"/>
      <c r="V52" s="766"/>
      <c r="W52" s="766"/>
      <c r="X52" s="766"/>
      <c r="Y52" s="766"/>
      <c r="Z52" s="766"/>
      <c r="AA52" s="766"/>
      <c r="AB52" s="766"/>
      <c r="AC52" s="766"/>
      <c r="AD52" s="766"/>
      <c r="AE52" s="766"/>
      <c r="AF52" s="766"/>
      <c r="AG52" s="767"/>
      <c r="AH52" s="2515"/>
      <c r="AI52" s="2516"/>
      <c r="AJ52" s="2489"/>
      <c r="AK52" s="2489"/>
      <c r="AL52" s="2489"/>
      <c r="AM52" s="2489"/>
      <c r="AN52" s="2489"/>
      <c r="AO52" s="2489"/>
      <c r="AP52" s="2489"/>
      <c r="AQ52" s="2489"/>
      <c r="AR52" s="2489"/>
      <c r="AS52" s="2489"/>
      <c r="AT52" s="2489"/>
      <c r="AU52" s="2489"/>
      <c r="AV52" s="2489"/>
      <c r="AW52" s="2489"/>
      <c r="AX52" s="2489"/>
      <c r="AY52" s="2489"/>
      <c r="AZ52" s="2489"/>
      <c r="BA52" s="2489"/>
      <c r="BB52" s="2489"/>
      <c r="BC52" s="2489"/>
      <c r="BD52" s="2489"/>
      <c r="BE52" s="2489"/>
      <c r="BF52" s="2489"/>
      <c r="BG52" s="2490"/>
      <c r="BH52" s="651"/>
    </row>
    <row r="53" spans="1:60" s="546" customFormat="1" ht="14.1" customHeight="1">
      <c r="A53" s="2491" t="s">
        <v>3116</v>
      </c>
      <c r="B53" s="2492"/>
      <c r="C53" s="2492"/>
      <c r="D53" s="2492"/>
      <c r="E53" s="2492"/>
      <c r="F53" s="2492"/>
      <c r="G53" s="2492"/>
      <c r="H53" s="2492"/>
      <c r="I53" s="2492"/>
      <c r="J53" s="2492"/>
      <c r="K53" s="2492"/>
      <c r="L53" s="2492"/>
      <c r="M53" s="2492"/>
      <c r="N53" s="2492"/>
      <c r="O53" s="2492"/>
      <c r="P53" s="2492"/>
      <c r="Q53" s="2492"/>
      <c r="R53" s="2492"/>
      <c r="S53" s="2492"/>
      <c r="T53" s="2492"/>
      <c r="U53" s="2492"/>
      <c r="V53" s="2492"/>
      <c r="W53" s="2492"/>
      <c r="X53" s="2492"/>
      <c r="Y53" s="2492"/>
      <c r="Z53" s="2492"/>
      <c r="AA53" s="2492"/>
      <c r="AB53" s="2492"/>
      <c r="AC53" s="2492"/>
      <c r="AD53" s="2492"/>
      <c r="AE53" s="2492"/>
      <c r="AF53" s="2492"/>
      <c r="AG53" s="2493"/>
      <c r="AH53" s="768"/>
      <c r="AI53" s="769"/>
      <c r="AJ53" s="785"/>
      <c r="AK53" s="786" t="s">
        <v>3117</v>
      </c>
      <c r="AL53" s="2494" t="s">
        <v>3118</v>
      </c>
      <c r="AM53" s="2495"/>
      <c r="AN53" s="2495"/>
      <c r="AO53" s="2495"/>
      <c r="AP53" s="2495"/>
      <c r="AQ53" s="2495"/>
      <c r="AR53" s="2495"/>
      <c r="AS53" s="2495"/>
      <c r="AT53" s="2495"/>
      <c r="AU53" s="2495"/>
      <c r="AV53" s="786"/>
      <c r="AW53" s="786"/>
      <c r="AX53" s="786"/>
      <c r="AY53" s="786"/>
      <c r="AZ53" s="786"/>
      <c r="BA53" s="786"/>
      <c r="BB53" s="786"/>
      <c r="BC53" s="786"/>
      <c r="BD53" s="786"/>
      <c r="BE53" s="786"/>
      <c r="BF53" s="786"/>
      <c r="BG53" s="787"/>
      <c r="BH53" s="651"/>
    </row>
    <row r="54" spans="1:60" s="546" customFormat="1" ht="10.5" customHeight="1">
      <c r="A54" s="2496"/>
      <c r="B54" s="2480"/>
      <c r="C54" s="2498" t="s">
        <v>3119</v>
      </c>
      <c r="D54" s="2499"/>
      <c r="E54" s="2499"/>
      <c r="F54" s="2499"/>
      <c r="G54" s="2499"/>
      <c r="H54" s="2499"/>
      <c r="I54" s="2499"/>
      <c r="J54" s="2499"/>
      <c r="K54" s="2499"/>
      <c r="L54" s="2483"/>
      <c r="M54" s="2483"/>
      <c r="N54" s="2483"/>
      <c r="O54" s="2483"/>
      <c r="P54" s="2483"/>
      <c r="Q54" s="2500">
        <f>+CEILING(0.135*(L51*U40)/U38,1)</f>
        <v>37712</v>
      </c>
      <c r="R54" s="2387"/>
      <c r="S54" s="2387"/>
      <c r="T54" s="2387"/>
      <c r="U54" s="2387"/>
      <c r="V54" s="2387"/>
      <c r="W54" s="2387"/>
      <c r="X54" s="2387"/>
      <c r="Y54" s="2387"/>
      <c r="Z54" s="2387"/>
      <c r="AA54" s="2387"/>
      <c r="AB54" s="2387"/>
      <c r="AC54" s="2388"/>
      <c r="AD54" s="2501" t="s">
        <v>186</v>
      </c>
      <c r="AE54" s="2483"/>
      <c r="AF54" s="2483"/>
      <c r="AG54" s="2484"/>
      <c r="AH54" s="788"/>
      <c r="AI54" s="771"/>
      <c r="AJ54" s="772"/>
      <c r="AK54" s="789"/>
      <c r="AL54" s="789"/>
      <c r="AM54" s="789"/>
      <c r="AN54" s="789"/>
      <c r="AO54" s="789"/>
      <c r="AP54" s="789"/>
      <c r="AQ54" s="789"/>
      <c r="AR54" s="789"/>
      <c r="AS54" s="789"/>
      <c r="AT54" s="789"/>
      <c r="AU54" s="789"/>
      <c r="AV54" s="789"/>
      <c r="AW54" s="789"/>
      <c r="AX54" s="2502">
        <f>+IF(OR(EXACT(AI55,"X"),EXACT(AI55,"x")),MAX(AU51,3306),IF(OR(EXACT(AT55,"X"),EXACT(AT55,"x")),0,+AU51))</f>
        <v>0</v>
      </c>
      <c r="AY54" s="2503"/>
      <c r="AZ54" s="2503"/>
      <c r="BA54" s="2503"/>
      <c r="BB54" s="2503"/>
      <c r="BC54" s="2504"/>
      <c r="BD54" s="789"/>
      <c r="BE54" s="789"/>
      <c r="BF54" s="789"/>
      <c r="BG54" s="790"/>
      <c r="BH54" s="651"/>
    </row>
    <row r="55" spans="1:60" s="546" customFormat="1" ht="13.5" customHeight="1">
      <c r="A55" s="2497"/>
      <c r="B55" s="2480"/>
      <c r="C55" s="2499"/>
      <c r="D55" s="2499"/>
      <c r="E55" s="2499"/>
      <c r="F55" s="2499"/>
      <c r="G55" s="2499"/>
      <c r="H55" s="2499"/>
      <c r="I55" s="2499"/>
      <c r="J55" s="2499"/>
      <c r="K55" s="2499"/>
      <c r="L55" s="2483"/>
      <c r="M55" s="2483"/>
      <c r="N55" s="2483"/>
      <c r="O55" s="2483"/>
      <c r="P55" s="2483"/>
      <c r="Q55" s="2471"/>
      <c r="R55" s="2472"/>
      <c r="S55" s="2472"/>
      <c r="T55" s="2472"/>
      <c r="U55" s="2472"/>
      <c r="V55" s="2472"/>
      <c r="W55" s="2472"/>
      <c r="X55" s="2472"/>
      <c r="Y55" s="2472"/>
      <c r="Z55" s="2472"/>
      <c r="AA55" s="2472"/>
      <c r="AB55" s="2472"/>
      <c r="AC55" s="2473"/>
      <c r="AD55" s="2483"/>
      <c r="AE55" s="2483"/>
      <c r="AF55" s="2483"/>
      <c r="AG55" s="2484"/>
      <c r="AH55" s="788"/>
      <c r="AI55" s="730"/>
      <c r="AJ55" s="2508" t="s">
        <v>3120</v>
      </c>
      <c r="AK55" s="2509"/>
      <c r="AL55" s="2509"/>
      <c r="AM55" s="2509"/>
      <c r="AN55" s="2509"/>
      <c r="AO55" s="2510"/>
      <c r="AP55" s="730"/>
      <c r="AQ55" s="2519" t="s">
        <v>3121</v>
      </c>
      <c r="AR55" s="2483"/>
      <c r="AS55" s="2520"/>
      <c r="AT55" s="730" t="s">
        <v>234</v>
      </c>
      <c r="AU55" s="2521" t="s">
        <v>3122</v>
      </c>
      <c r="AV55" s="2483"/>
      <c r="AW55" s="2483"/>
      <c r="AX55" s="2505"/>
      <c r="AY55" s="2506"/>
      <c r="AZ55" s="2506"/>
      <c r="BA55" s="2506"/>
      <c r="BB55" s="2506"/>
      <c r="BC55" s="2507"/>
      <c r="BD55" s="2487" t="s">
        <v>186</v>
      </c>
      <c r="BE55" s="2482"/>
      <c r="BF55" s="2482"/>
      <c r="BG55" s="2488"/>
      <c r="BH55" s="651"/>
    </row>
    <row r="56" spans="1:60" s="546" customFormat="1" ht="6" customHeight="1">
      <c r="A56" s="2479"/>
      <c r="B56" s="2480"/>
      <c r="C56" s="2480"/>
      <c r="D56" s="2480"/>
      <c r="E56" s="2480"/>
      <c r="F56" s="2480"/>
      <c r="G56" s="2480"/>
      <c r="H56" s="2480"/>
      <c r="I56" s="2480"/>
      <c r="J56" s="2480"/>
      <c r="K56" s="2480"/>
      <c r="L56" s="2480"/>
      <c r="M56" s="2480"/>
      <c r="N56" s="2480"/>
      <c r="O56" s="2480"/>
      <c r="P56" s="2480"/>
      <c r="Q56" s="2480"/>
      <c r="R56" s="2480"/>
      <c r="S56" s="2480"/>
      <c r="T56" s="2480"/>
      <c r="U56" s="2480"/>
      <c r="V56" s="2480"/>
      <c r="W56" s="2480"/>
      <c r="X56" s="2480"/>
      <c r="Y56" s="2480"/>
      <c r="Z56" s="2480"/>
      <c r="AA56" s="2480"/>
      <c r="AB56" s="2480"/>
      <c r="AC56" s="2480"/>
      <c r="AD56" s="2480"/>
      <c r="AE56" s="2480"/>
      <c r="AF56" s="2480"/>
      <c r="AG56" s="2481"/>
      <c r="AH56" s="775"/>
      <c r="AI56" s="771"/>
      <c r="AJ56" s="771"/>
      <c r="AK56" s="2482"/>
      <c r="AL56" s="2482"/>
      <c r="AM56" s="2483"/>
      <c r="AN56" s="2483"/>
      <c r="AO56" s="2483"/>
      <c r="AP56" s="2483"/>
      <c r="AQ56" s="2483"/>
      <c r="AR56" s="2483"/>
      <c r="AS56" s="2483"/>
      <c r="AT56" s="2483"/>
      <c r="AU56" s="2483"/>
      <c r="AV56" s="2483"/>
      <c r="AW56" s="2483"/>
      <c r="AX56" s="2483"/>
      <c r="AY56" s="2483"/>
      <c r="AZ56" s="2483"/>
      <c r="BA56" s="2483"/>
      <c r="BB56" s="2483"/>
      <c r="BC56" s="2483"/>
      <c r="BD56" s="2483"/>
      <c r="BE56" s="2483"/>
      <c r="BF56" s="2483"/>
      <c r="BG56" s="2484"/>
      <c r="BH56" s="651"/>
    </row>
    <row r="57" spans="1:60" s="546" customFormat="1" ht="6" customHeight="1">
      <c r="A57" s="2485"/>
      <c r="B57" s="2486"/>
      <c r="C57" s="2486"/>
      <c r="D57" s="2486"/>
      <c r="E57" s="2486"/>
      <c r="F57" s="2486"/>
      <c r="G57" s="2486"/>
      <c r="H57" s="2486"/>
      <c r="I57" s="2486"/>
      <c r="J57" s="2486"/>
      <c r="K57" s="2486"/>
      <c r="L57" s="2486"/>
      <c r="M57" s="2486"/>
      <c r="N57" s="2486"/>
      <c r="O57" s="2486"/>
      <c r="P57" s="2486"/>
      <c r="Q57" s="2486"/>
      <c r="R57" s="2486"/>
      <c r="S57" s="2486"/>
      <c r="T57" s="2486"/>
      <c r="U57" s="2486"/>
      <c r="V57" s="2486"/>
      <c r="W57" s="2486"/>
      <c r="X57" s="2486"/>
      <c r="Y57" s="2486"/>
      <c r="Z57" s="2486"/>
      <c r="AA57" s="2486"/>
      <c r="AB57" s="2486"/>
      <c r="AC57" s="2486"/>
      <c r="AD57" s="2486"/>
      <c r="AE57" s="2486"/>
      <c r="AF57" s="2486"/>
      <c r="AG57" s="2486"/>
      <c r="AH57" s="2486"/>
      <c r="AI57" s="2486"/>
      <c r="AJ57" s="2486"/>
      <c r="AK57" s="2486"/>
      <c r="AL57" s="2486"/>
      <c r="AM57" s="2486"/>
      <c r="AN57" s="2486"/>
      <c r="AO57" s="2486"/>
      <c r="AP57" s="2486"/>
      <c r="AQ57" s="2486"/>
      <c r="AR57" s="2486"/>
      <c r="AS57" s="2486"/>
      <c r="AT57" s="2486"/>
      <c r="AU57" s="2486"/>
      <c r="AV57" s="2486"/>
      <c r="AW57" s="2486"/>
      <c r="AX57" s="2486"/>
      <c r="AY57" s="2486"/>
      <c r="AZ57" s="2486"/>
      <c r="BA57" s="2486"/>
      <c r="BB57" s="2486"/>
      <c r="BC57" s="2486"/>
      <c r="BD57" s="2486"/>
      <c r="BE57" s="2486"/>
      <c r="BF57" s="2486"/>
      <c r="BG57" s="2486"/>
      <c r="BH57" s="651"/>
    </row>
    <row r="58" spans="1:60" s="546" customFormat="1" ht="15" customHeight="1">
      <c r="A58" s="2354" t="s">
        <v>3123</v>
      </c>
      <c r="B58" s="2384"/>
      <c r="C58" s="2384"/>
      <c r="D58" s="2384"/>
      <c r="E58" s="2384"/>
      <c r="F58" s="2384"/>
      <c r="G58" s="2384"/>
      <c r="H58" s="2384"/>
      <c r="I58" s="2384"/>
      <c r="J58" s="2384"/>
      <c r="K58" s="2384"/>
      <c r="L58" s="2384"/>
      <c r="M58" s="2384"/>
      <c r="N58" s="2384"/>
      <c r="O58" s="2384"/>
      <c r="P58" s="2384"/>
      <c r="Q58" s="2384"/>
      <c r="R58" s="2384"/>
      <c r="S58" s="2384"/>
      <c r="T58" s="2384"/>
      <c r="U58" s="2384"/>
      <c r="V58" s="2384"/>
      <c r="W58" s="2384"/>
      <c r="X58" s="2384"/>
      <c r="Y58" s="2384"/>
      <c r="Z58" s="2384"/>
      <c r="AA58" s="2384"/>
      <c r="AB58" s="2384"/>
      <c r="AC58" s="2384"/>
      <c r="AD58" s="2384"/>
      <c r="AE58" s="2384"/>
      <c r="AF58" s="2384"/>
      <c r="AG58" s="2384"/>
      <c r="AH58" s="2384"/>
      <c r="AI58" s="2384"/>
      <c r="AJ58" s="2384"/>
      <c r="AK58" s="2384"/>
      <c r="AL58" s="2384"/>
      <c r="AM58" s="2384"/>
      <c r="AN58" s="2384"/>
      <c r="AO58" s="2384"/>
      <c r="AP58" s="2384"/>
      <c r="AQ58" s="2384"/>
      <c r="AR58" s="2384"/>
      <c r="AS58" s="2384"/>
      <c r="AT58" s="2384"/>
      <c r="AU58" s="2384"/>
      <c r="AV58" s="2384"/>
      <c r="AW58" s="2384"/>
      <c r="AX58" s="2384"/>
      <c r="AY58" s="2384"/>
      <c r="AZ58" s="2384"/>
      <c r="BA58" s="2384"/>
      <c r="BB58" s="2384"/>
      <c r="BC58" s="2384"/>
      <c r="BD58" s="2384"/>
      <c r="BE58" s="2384"/>
      <c r="BF58" s="2384"/>
      <c r="BG58" s="2385"/>
      <c r="BH58" s="651"/>
    </row>
    <row r="59" spans="1:60" s="546" customFormat="1" ht="12" customHeight="1">
      <c r="A59" s="2531" t="s">
        <v>3134</v>
      </c>
      <c r="B59" s="2406"/>
      <c r="C59" s="2406"/>
      <c r="D59" s="2406"/>
      <c r="E59" s="2406"/>
      <c r="F59" s="2406"/>
      <c r="G59" s="2406"/>
      <c r="H59" s="2406"/>
      <c r="I59" s="2406"/>
      <c r="J59" s="2406"/>
      <c r="K59" s="2406"/>
      <c r="L59" s="2406"/>
      <c r="M59" s="2406"/>
      <c r="N59" s="2406"/>
      <c r="O59" s="2406"/>
      <c r="P59" s="2406"/>
      <c r="Q59" s="2406"/>
      <c r="R59" s="2406"/>
      <c r="S59" s="2406"/>
      <c r="T59" s="2406"/>
      <c r="U59" s="2406"/>
      <c r="V59" s="2406"/>
      <c r="W59" s="2406"/>
      <c r="X59" s="2406"/>
      <c r="Y59" s="2406"/>
      <c r="Z59" s="2406"/>
      <c r="AA59" s="2406"/>
      <c r="AB59" s="2406"/>
      <c r="AC59" s="2406"/>
      <c r="AD59" s="2406"/>
      <c r="AE59" s="2406"/>
      <c r="AF59" s="2406"/>
      <c r="AG59" s="2406"/>
      <c r="AH59" s="2406"/>
      <c r="AI59" s="2406"/>
      <c r="AJ59" s="2406"/>
      <c r="AK59" s="2406"/>
      <c r="AL59" s="2406"/>
      <c r="AM59" s="2406"/>
      <c r="AN59" s="2406"/>
      <c r="AO59" s="2390"/>
      <c r="AP59" s="2390"/>
      <c r="AQ59" s="2390"/>
      <c r="AR59" s="2390"/>
      <c r="AS59" s="2390"/>
      <c r="AT59" s="2390"/>
      <c r="AU59" s="2390"/>
      <c r="AV59" s="2390"/>
      <c r="AW59" s="2390"/>
      <c r="AX59" s="2390"/>
      <c r="AY59" s="2390"/>
      <c r="AZ59" s="2390"/>
      <c r="BA59" s="2390"/>
      <c r="BB59" s="2390"/>
      <c r="BC59" s="2382"/>
      <c r="BD59" s="649"/>
      <c r="BE59" s="649"/>
      <c r="BF59" s="649"/>
      <c r="BG59" s="740"/>
      <c r="BH59" s="651"/>
    </row>
    <row r="60" spans="1:60" s="546" customFormat="1" ht="18" customHeight="1">
      <c r="A60" s="2532"/>
      <c r="B60" s="2406"/>
      <c r="C60" s="2406"/>
      <c r="D60" s="2406"/>
      <c r="E60" s="2406"/>
      <c r="F60" s="2406"/>
      <c r="G60" s="2406"/>
      <c r="H60" s="2406"/>
      <c r="I60" s="2406"/>
      <c r="J60" s="2406"/>
      <c r="K60" s="2406"/>
      <c r="L60" s="2406"/>
      <c r="M60" s="2406"/>
      <c r="N60" s="2406"/>
      <c r="O60" s="2406"/>
      <c r="P60" s="2406"/>
      <c r="Q60" s="2406"/>
      <c r="R60" s="2406"/>
      <c r="S60" s="2406"/>
      <c r="T60" s="2406"/>
      <c r="U60" s="2406"/>
      <c r="V60" s="2406"/>
      <c r="W60" s="2406"/>
      <c r="X60" s="2406"/>
      <c r="Y60" s="2406"/>
      <c r="Z60" s="2406"/>
      <c r="AA60" s="2406"/>
      <c r="AB60" s="2406"/>
      <c r="AC60" s="2406"/>
      <c r="AD60" s="2406"/>
      <c r="AE60" s="2406"/>
      <c r="AF60" s="2406"/>
      <c r="AG60" s="2406"/>
      <c r="AH60" s="2406"/>
      <c r="AI60" s="2406"/>
      <c r="AJ60" s="2406"/>
      <c r="AK60" s="2406"/>
      <c r="AL60" s="2406"/>
      <c r="AM60" s="2390"/>
      <c r="AN60" s="2533" t="s">
        <v>3125</v>
      </c>
      <c r="AO60" s="2534"/>
      <c r="AP60" s="2534"/>
      <c r="AQ60" s="2534"/>
      <c r="AR60" s="2534"/>
      <c r="AS60" s="2534"/>
      <c r="AT60" s="2534"/>
      <c r="AU60" s="2534"/>
      <c r="AV60" s="2534"/>
      <c r="AW60" s="2534"/>
      <c r="AX60" s="2534"/>
      <c r="AY60" s="2534"/>
      <c r="AZ60" s="2534"/>
      <c r="BA60" s="2534"/>
      <c r="BB60" s="2535"/>
      <c r="BC60" s="2390"/>
      <c r="BD60" s="2382"/>
      <c r="BE60" s="2382"/>
      <c r="BF60" s="2382"/>
      <c r="BG60" s="2383"/>
      <c r="BH60" s="651"/>
    </row>
    <row r="61" spans="1:60" s="546" customFormat="1" ht="12.95" customHeight="1">
      <c r="A61" s="756"/>
      <c r="B61" s="744"/>
      <c r="C61" s="776"/>
      <c r="D61" s="776"/>
      <c r="E61" s="2542" t="s">
        <v>3131</v>
      </c>
      <c r="F61" s="2542"/>
      <c r="G61" s="2542"/>
      <c r="H61" s="2542"/>
      <c r="I61" s="2542"/>
      <c r="J61" s="2542"/>
      <c r="K61" s="2542"/>
      <c r="L61" s="2542"/>
      <c r="M61" s="2542"/>
      <c r="N61" s="2542"/>
      <c r="O61" s="2542"/>
      <c r="P61" s="2542"/>
      <c r="Q61" s="2542"/>
      <c r="R61" s="2542"/>
      <c r="S61" s="2542"/>
      <c r="T61" s="759"/>
      <c r="U61" s="744"/>
      <c r="V61" s="744"/>
      <c r="W61" s="744"/>
      <c r="X61" s="744"/>
      <c r="Y61" s="744"/>
      <c r="Z61" s="744"/>
      <c r="AA61" s="744"/>
      <c r="AB61" s="744"/>
      <c r="AC61" s="744"/>
      <c r="AD61" s="744"/>
      <c r="AE61" s="744"/>
      <c r="AF61" s="744"/>
      <c r="AG61" s="744"/>
      <c r="AH61" s="744"/>
      <c r="AI61" s="744"/>
      <c r="AJ61" s="744"/>
      <c r="AK61" s="744"/>
      <c r="AL61" s="744"/>
      <c r="AM61" s="2390"/>
      <c r="AN61" s="2536"/>
      <c r="AO61" s="2537"/>
      <c r="AP61" s="2537"/>
      <c r="AQ61" s="2537"/>
      <c r="AR61" s="2537"/>
      <c r="AS61" s="2537"/>
      <c r="AT61" s="2537"/>
      <c r="AU61" s="2537"/>
      <c r="AV61" s="2537"/>
      <c r="AW61" s="2537"/>
      <c r="AX61" s="2537"/>
      <c r="AY61" s="2537"/>
      <c r="AZ61" s="2537"/>
      <c r="BA61" s="2537"/>
      <c r="BB61" s="2538"/>
      <c r="BC61" s="2390"/>
      <c r="BD61" s="2382"/>
      <c r="BE61" s="2382"/>
      <c r="BF61" s="2382"/>
      <c r="BG61" s="2383"/>
      <c r="BH61" s="651"/>
    </row>
    <row r="62" spans="1:60" s="546" customFormat="1" ht="12.95" customHeight="1">
      <c r="A62" s="739"/>
      <c r="B62" s="649"/>
      <c r="C62" s="777"/>
      <c r="D62" s="777"/>
      <c r="E62" s="777"/>
      <c r="F62" s="777"/>
      <c r="G62" s="777"/>
      <c r="H62" s="777"/>
      <c r="I62" s="777"/>
      <c r="J62" s="777"/>
      <c r="K62" s="777"/>
      <c r="L62" s="777"/>
      <c r="M62" s="777"/>
      <c r="N62" s="777"/>
      <c r="O62" s="777"/>
      <c r="P62" s="777"/>
      <c r="Q62" s="777"/>
      <c r="R62" s="777"/>
      <c r="S62" s="777"/>
      <c r="T62" s="777"/>
      <c r="U62" s="778"/>
      <c r="V62" s="2543" t="s">
        <v>3127</v>
      </c>
      <c r="W62" s="2403"/>
      <c r="X62" s="2403"/>
      <c r="Y62" s="2403"/>
      <c r="Z62" s="2403"/>
      <c r="AA62" s="2403"/>
      <c r="AB62" s="2403"/>
      <c r="AC62" s="2403"/>
      <c r="AD62" s="2403"/>
      <c r="AE62" s="2403"/>
      <c r="AF62" s="2403"/>
      <c r="AG62" s="2403"/>
      <c r="AH62" s="744"/>
      <c r="AI62" s="744"/>
      <c r="AJ62" s="744"/>
      <c r="AK62" s="744"/>
      <c r="AL62" s="744"/>
      <c r="AM62" s="2390"/>
      <c r="AN62" s="2536"/>
      <c r="AO62" s="2537"/>
      <c r="AP62" s="2537"/>
      <c r="AQ62" s="2537"/>
      <c r="AR62" s="2537"/>
      <c r="AS62" s="2537"/>
      <c r="AT62" s="2537"/>
      <c r="AU62" s="2537"/>
      <c r="AV62" s="2537"/>
      <c r="AW62" s="2537"/>
      <c r="AX62" s="2537"/>
      <c r="AY62" s="2537"/>
      <c r="AZ62" s="2537"/>
      <c r="BA62" s="2537"/>
      <c r="BB62" s="2538"/>
      <c r="BC62" s="2390"/>
      <c r="BD62" s="2382"/>
      <c r="BE62" s="2382"/>
      <c r="BF62" s="2382"/>
      <c r="BG62" s="2383"/>
      <c r="BH62" s="651"/>
    </row>
    <row r="63" spans="1:60" s="546" customFormat="1" ht="18" customHeight="1">
      <c r="A63" s="739"/>
      <c r="B63" s="649"/>
      <c r="C63" s="2544"/>
      <c r="D63" s="2544"/>
      <c r="E63" s="649"/>
      <c r="F63" s="649"/>
      <c r="G63" s="649"/>
      <c r="H63" s="649"/>
      <c r="I63" s="649"/>
      <c r="J63" s="649"/>
      <c r="K63" s="649"/>
      <c r="L63" s="649"/>
      <c r="M63" s="649"/>
      <c r="N63" s="649"/>
      <c r="O63" s="649"/>
      <c r="P63" s="649"/>
      <c r="Q63" s="649"/>
      <c r="R63" s="649"/>
      <c r="S63" s="649"/>
      <c r="T63" s="649"/>
      <c r="U63" s="778"/>
      <c r="V63" s="2522">
        <f ca="1">+TODAY()</f>
        <v>46094</v>
      </c>
      <c r="W63" s="2523"/>
      <c r="X63" s="2523"/>
      <c r="Y63" s="2523"/>
      <c r="Z63" s="2523"/>
      <c r="AA63" s="2523"/>
      <c r="AB63" s="2523"/>
      <c r="AC63" s="2523"/>
      <c r="AD63" s="2523"/>
      <c r="AE63" s="2523"/>
      <c r="AF63" s="2523"/>
      <c r="AG63" s="2524"/>
      <c r="AH63" s="738"/>
      <c r="AI63" s="744"/>
      <c r="AJ63" s="744"/>
      <c r="AK63" s="744"/>
      <c r="AL63" s="744"/>
      <c r="AM63" s="2390"/>
      <c r="AN63" s="2536"/>
      <c r="AO63" s="2537"/>
      <c r="AP63" s="2537"/>
      <c r="AQ63" s="2537"/>
      <c r="AR63" s="2537"/>
      <c r="AS63" s="2537"/>
      <c r="AT63" s="2537"/>
      <c r="AU63" s="2537"/>
      <c r="AV63" s="2537"/>
      <c r="AW63" s="2537"/>
      <c r="AX63" s="2537"/>
      <c r="AY63" s="2537"/>
      <c r="AZ63" s="2537"/>
      <c r="BA63" s="2537"/>
      <c r="BB63" s="2538"/>
      <c r="BC63" s="2390"/>
      <c r="BD63" s="2382"/>
      <c r="BE63" s="2382"/>
      <c r="BF63" s="652"/>
      <c r="BG63" s="2383"/>
      <c r="BH63" s="651"/>
    </row>
    <row r="64" spans="1:60" s="546" customFormat="1" ht="6.95" customHeight="1">
      <c r="A64" s="779"/>
      <c r="B64" s="780"/>
      <c r="C64" s="744"/>
      <c r="D64" s="744"/>
      <c r="E64" s="744"/>
      <c r="F64" s="744"/>
      <c r="G64" s="744"/>
      <c r="H64" s="744"/>
      <c r="I64" s="744"/>
      <c r="J64" s="744"/>
      <c r="K64" s="744"/>
      <c r="L64" s="744"/>
      <c r="M64" s="744"/>
      <c r="N64" s="744"/>
      <c r="O64" s="744"/>
      <c r="P64" s="744"/>
      <c r="Q64" s="744"/>
      <c r="R64" s="744"/>
      <c r="S64" s="744"/>
      <c r="T64" s="744"/>
      <c r="U64" s="778"/>
      <c r="V64" s="2525"/>
      <c r="W64" s="2526"/>
      <c r="X64" s="2526"/>
      <c r="Y64" s="2526"/>
      <c r="Z64" s="2526"/>
      <c r="AA64" s="2526"/>
      <c r="AB64" s="2526"/>
      <c r="AC64" s="2526"/>
      <c r="AD64" s="2526"/>
      <c r="AE64" s="2526"/>
      <c r="AF64" s="2526"/>
      <c r="AG64" s="2527"/>
      <c r="AH64" s="744"/>
      <c r="AI64" s="744"/>
      <c r="AJ64" s="744"/>
      <c r="AK64" s="744"/>
      <c r="AL64" s="744"/>
      <c r="AM64" s="2390"/>
      <c r="AN64" s="2539"/>
      <c r="AO64" s="2540"/>
      <c r="AP64" s="2540"/>
      <c r="AQ64" s="2540"/>
      <c r="AR64" s="2540"/>
      <c r="AS64" s="2540"/>
      <c r="AT64" s="2540"/>
      <c r="AU64" s="2540"/>
      <c r="AV64" s="2540"/>
      <c r="AW64" s="2540"/>
      <c r="AX64" s="2540"/>
      <c r="AY64" s="2540"/>
      <c r="AZ64" s="2540"/>
      <c r="BA64" s="2540"/>
      <c r="BB64" s="2541"/>
      <c r="BC64" s="2390"/>
      <c r="BD64" s="2382"/>
      <c r="BE64" s="2382"/>
      <c r="BF64" s="649"/>
      <c r="BG64" s="2383"/>
      <c r="BH64" s="651"/>
    </row>
    <row r="65" spans="1:133" s="651" customFormat="1" ht="11.1" customHeight="1">
      <c r="A65" s="781"/>
      <c r="B65" s="782"/>
      <c r="C65" s="783"/>
      <c r="D65" s="783"/>
      <c r="E65" s="783"/>
      <c r="F65" s="783"/>
      <c r="G65" s="783"/>
      <c r="H65" s="783"/>
      <c r="I65" s="783"/>
      <c r="J65" s="783"/>
      <c r="K65" s="783"/>
      <c r="L65" s="783"/>
      <c r="M65" s="783"/>
      <c r="N65" s="783"/>
      <c r="O65" s="783"/>
      <c r="P65" s="783"/>
      <c r="Q65" s="783"/>
      <c r="R65" s="783"/>
      <c r="S65" s="783"/>
      <c r="T65" s="783"/>
      <c r="U65" s="783"/>
      <c r="V65" s="783"/>
      <c r="W65" s="783"/>
      <c r="X65" s="783"/>
      <c r="Y65" s="783"/>
      <c r="Z65" s="783"/>
      <c r="AA65" s="783"/>
      <c r="AB65" s="783"/>
      <c r="AC65" s="783"/>
      <c r="AD65" s="783"/>
      <c r="AE65" s="783"/>
      <c r="AF65" s="783"/>
      <c r="AG65" s="783"/>
      <c r="AH65" s="783"/>
      <c r="AI65" s="783"/>
      <c r="AJ65" s="783"/>
      <c r="AK65" s="783"/>
      <c r="AL65" s="783"/>
      <c r="AM65" s="783"/>
      <c r="AN65" s="783"/>
      <c r="AO65" s="783"/>
      <c r="AP65" s="783"/>
      <c r="AQ65" s="783"/>
      <c r="AR65" s="783"/>
      <c r="AS65" s="783"/>
      <c r="AT65" s="783"/>
      <c r="AU65" s="783"/>
      <c r="AV65" s="783"/>
      <c r="AW65" s="783"/>
      <c r="AX65" s="783"/>
      <c r="AY65" s="783"/>
      <c r="AZ65" s="783"/>
      <c r="BA65" s="783"/>
      <c r="BB65" s="783"/>
      <c r="BC65" s="783"/>
      <c r="BD65" s="783"/>
      <c r="BE65" s="783"/>
      <c r="BF65" s="783"/>
      <c r="BG65" s="784"/>
      <c r="BS65" s="546"/>
      <c r="BT65" s="546"/>
      <c r="BU65" s="546"/>
      <c r="BV65" s="546"/>
      <c r="BW65" s="546"/>
      <c r="BX65" s="546"/>
      <c r="BY65" s="546"/>
      <c r="BZ65" s="546"/>
      <c r="CA65" s="546"/>
      <c r="CB65" s="546"/>
      <c r="CC65" s="546"/>
      <c r="CD65" s="546"/>
      <c r="CE65" s="546"/>
      <c r="CF65" s="546"/>
      <c r="CG65" s="546"/>
      <c r="CH65" s="546"/>
      <c r="CI65" s="546"/>
      <c r="CJ65" s="546"/>
      <c r="CK65" s="546"/>
      <c r="CL65" s="546"/>
      <c r="CM65" s="546"/>
      <c r="CN65" s="546"/>
      <c r="CO65" s="546"/>
      <c r="CP65" s="546"/>
      <c r="CQ65" s="546"/>
      <c r="CR65" s="546"/>
      <c r="CS65" s="546"/>
      <c r="CT65" s="546"/>
      <c r="CU65" s="546"/>
      <c r="CV65" s="546"/>
      <c r="CW65" s="546"/>
      <c r="CX65" s="546"/>
      <c r="CY65" s="546"/>
      <c r="CZ65" s="546"/>
      <c r="DA65" s="546"/>
      <c r="DB65" s="546"/>
      <c r="DC65" s="546"/>
      <c r="DD65" s="546"/>
      <c r="DE65" s="546"/>
      <c r="DF65" s="546"/>
      <c r="DG65" s="546"/>
      <c r="DH65" s="546"/>
      <c r="DI65" s="546"/>
      <c r="DJ65" s="546"/>
      <c r="DK65" s="546"/>
      <c r="DL65" s="546"/>
      <c r="DM65" s="546"/>
      <c r="DN65" s="546"/>
      <c r="DO65" s="546"/>
      <c r="DP65" s="546"/>
      <c r="DQ65" s="546"/>
      <c r="DR65" s="546"/>
      <c r="DS65" s="546"/>
      <c r="DT65" s="546"/>
      <c r="DU65" s="546"/>
      <c r="DV65" s="546"/>
      <c r="DW65" s="546"/>
      <c r="DX65" s="546"/>
      <c r="DY65" s="546"/>
      <c r="DZ65" s="546"/>
      <c r="EA65" s="546"/>
      <c r="EB65" s="546"/>
      <c r="EC65" s="546"/>
    </row>
    <row r="66" spans="1:133" s="651" customFormat="1" ht="12" customHeight="1">
      <c r="A66" s="2528" t="str">
        <f>+'SP1'!A73</f>
        <v>Formulář zpracovala ASPEKT HM, daňová, účetní a auditorská kancelář, www.danovapriznani.cz, business.center.cz</v>
      </c>
      <c r="B66" s="2528"/>
      <c r="C66" s="2529"/>
      <c r="D66" s="2529"/>
      <c r="E66" s="2529"/>
      <c r="F66" s="2529"/>
      <c r="G66" s="2529"/>
      <c r="H66" s="2529"/>
      <c r="I66" s="2529"/>
      <c r="J66" s="2529"/>
      <c r="K66" s="2529"/>
      <c r="L66" s="2529"/>
      <c r="M66" s="2529"/>
      <c r="N66" s="2529"/>
      <c r="O66" s="2529"/>
      <c r="P66" s="2529"/>
      <c r="Q66" s="2529"/>
      <c r="R66" s="2529"/>
      <c r="S66" s="2529"/>
      <c r="T66" s="2529"/>
      <c r="U66" s="2529"/>
      <c r="V66" s="2529"/>
      <c r="W66" s="2529"/>
      <c r="X66" s="2529"/>
      <c r="Y66" s="2529"/>
      <c r="Z66" s="2529"/>
      <c r="AA66" s="2529"/>
      <c r="AB66" s="2529"/>
      <c r="AC66" s="2529"/>
      <c r="AD66" s="2529"/>
      <c r="AE66" s="2529"/>
      <c r="AF66" s="2529"/>
      <c r="AG66" s="2529"/>
      <c r="AH66" s="2529"/>
      <c r="AI66" s="2529"/>
      <c r="AJ66" s="2529"/>
      <c r="AK66" s="2529"/>
      <c r="AL66" s="2529"/>
      <c r="AM66" s="2529"/>
      <c r="AN66" s="2529"/>
      <c r="AO66" s="2529"/>
      <c r="AP66" s="2529"/>
      <c r="AQ66" s="2529"/>
      <c r="AR66" s="2529"/>
      <c r="AS66" s="2529"/>
      <c r="AT66" s="2529"/>
      <c r="AU66" s="2529"/>
      <c r="AV66" s="2529"/>
      <c r="AW66" s="2529"/>
      <c r="AX66" s="2529"/>
      <c r="AY66" s="2529"/>
      <c r="AZ66" s="2529"/>
      <c r="BA66" s="2529"/>
      <c r="BB66" s="2529"/>
      <c r="BC66" s="2529"/>
      <c r="BD66" s="2529"/>
      <c r="BE66" s="2529"/>
      <c r="BF66" s="2529"/>
      <c r="BG66" s="2529"/>
      <c r="BS66" s="546"/>
      <c r="BT66" s="546"/>
      <c r="BU66" s="546"/>
      <c r="BV66" s="546"/>
      <c r="BW66" s="546"/>
      <c r="BX66" s="546"/>
      <c r="BY66" s="546"/>
      <c r="BZ66" s="546"/>
      <c r="CA66" s="546"/>
      <c r="CB66" s="546"/>
      <c r="CC66" s="546"/>
      <c r="CD66" s="546"/>
      <c r="CE66" s="546"/>
      <c r="CF66" s="546"/>
      <c r="CG66" s="546"/>
      <c r="CH66" s="546"/>
      <c r="CI66" s="546"/>
      <c r="CJ66" s="546"/>
      <c r="CK66" s="546"/>
      <c r="CL66" s="546"/>
      <c r="CM66" s="546"/>
      <c r="CN66" s="546"/>
      <c r="CO66" s="546"/>
      <c r="CP66" s="546"/>
      <c r="CQ66" s="546"/>
      <c r="CR66" s="546"/>
      <c r="CS66" s="546"/>
      <c r="CT66" s="546"/>
      <c r="CU66" s="546"/>
      <c r="CV66" s="546"/>
      <c r="CW66" s="546"/>
      <c r="CX66" s="546"/>
      <c r="CY66" s="546"/>
      <c r="CZ66" s="546"/>
      <c r="DA66" s="546"/>
      <c r="DB66" s="546"/>
      <c r="DC66" s="546"/>
      <c r="DD66" s="546"/>
      <c r="DE66" s="546"/>
      <c r="DF66" s="546"/>
      <c r="DG66" s="546"/>
      <c r="DH66" s="546"/>
      <c r="DI66" s="546"/>
      <c r="DJ66" s="546"/>
      <c r="DK66" s="546"/>
      <c r="DL66" s="546"/>
      <c r="DM66" s="546"/>
      <c r="DN66" s="546"/>
      <c r="DO66" s="546"/>
      <c r="DP66" s="546"/>
      <c r="DQ66" s="546"/>
      <c r="DR66" s="546"/>
      <c r="DS66" s="546"/>
      <c r="DT66" s="546"/>
      <c r="DU66" s="546"/>
      <c r="DV66" s="546"/>
      <c r="DW66" s="546"/>
      <c r="DX66" s="546"/>
      <c r="DY66" s="546"/>
      <c r="DZ66" s="546"/>
      <c r="EA66" s="546"/>
      <c r="EB66" s="546"/>
      <c r="EC66" s="546"/>
    </row>
    <row r="67" spans="1:133" s="651" customFormat="1" ht="9.9499999999999993" customHeight="1">
      <c r="A67" s="2530" t="str">
        <f>+CONCATENATE(ZAKL_DATA!A44)</f>
        <v/>
      </c>
      <c r="B67" s="2530"/>
      <c r="C67" s="2529"/>
      <c r="D67" s="2529"/>
      <c r="E67" s="2529"/>
      <c r="F67" s="2529"/>
      <c r="G67" s="2529"/>
      <c r="H67" s="2529"/>
      <c r="I67" s="2529"/>
      <c r="J67" s="2529"/>
      <c r="K67" s="2529"/>
      <c r="L67" s="2529"/>
      <c r="M67" s="2529"/>
      <c r="N67" s="2529"/>
      <c r="O67" s="2529"/>
      <c r="P67" s="2529"/>
      <c r="Q67" s="2529"/>
      <c r="R67" s="2529"/>
      <c r="S67" s="2529"/>
      <c r="T67" s="2529"/>
      <c r="U67" s="2529"/>
      <c r="V67" s="2529"/>
      <c r="W67" s="2529"/>
      <c r="X67" s="2529"/>
      <c r="Y67" s="2529"/>
      <c r="Z67" s="2529"/>
      <c r="AA67" s="2529"/>
      <c r="AB67" s="2529"/>
      <c r="AC67" s="2529"/>
      <c r="AD67" s="2529"/>
      <c r="AE67" s="2529"/>
      <c r="AF67" s="2529"/>
      <c r="AG67" s="2529"/>
      <c r="AH67" s="2529"/>
      <c r="AI67" s="2529"/>
      <c r="AJ67" s="2529"/>
      <c r="AK67" s="2529"/>
      <c r="AL67" s="2529"/>
      <c r="AM67" s="2529"/>
      <c r="AN67" s="2529"/>
      <c r="AO67" s="2529"/>
      <c r="AP67" s="2529"/>
      <c r="AQ67" s="2529"/>
      <c r="AR67" s="2529"/>
      <c r="AS67" s="2529"/>
      <c r="AT67" s="2529"/>
      <c r="AU67" s="2529"/>
      <c r="AV67" s="2529"/>
      <c r="AW67" s="2529"/>
      <c r="AX67" s="2529"/>
      <c r="AY67" s="2529"/>
      <c r="AZ67" s="2529"/>
      <c r="BA67" s="2529"/>
      <c r="BB67" s="2529"/>
      <c r="BC67" s="2529"/>
      <c r="BD67" s="2529"/>
      <c r="BE67" s="2529"/>
      <c r="BF67" s="2529"/>
      <c r="BG67" s="2529"/>
      <c r="BS67" s="546"/>
      <c r="BT67" s="546"/>
      <c r="BU67" s="546"/>
      <c r="BV67" s="546"/>
      <c r="BW67" s="546"/>
      <c r="BX67" s="546"/>
      <c r="BY67" s="546"/>
      <c r="BZ67" s="546"/>
      <c r="CA67" s="546"/>
      <c r="CB67" s="546"/>
      <c r="CC67" s="546"/>
      <c r="CD67" s="546"/>
      <c r="CE67" s="546"/>
      <c r="CF67" s="546"/>
      <c r="CG67" s="546"/>
      <c r="CH67" s="546"/>
      <c r="CI67" s="546"/>
      <c r="CJ67" s="546"/>
      <c r="CK67" s="546"/>
      <c r="CL67" s="546"/>
      <c r="CM67" s="546"/>
      <c r="CN67" s="546"/>
      <c r="CO67" s="546"/>
      <c r="CP67" s="546"/>
      <c r="CQ67" s="546"/>
      <c r="CR67" s="546"/>
      <c r="CS67" s="546"/>
      <c r="CT67" s="546"/>
      <c r="CU67" s="546"/>
      <c r="CV67" s="546"/>
      <c r="CW67" s="546"/>
      <c r="CX67" s="546"/>
      <c r="CY67" s="546"/>
      <c r="CZ67" s="546"/>
      <c r="DA67" s="546"/>
      <c r="DB67" s="546"/>
      <c r="DC67" s="546"/>
      <c r="DD67" s="546"/>
      <c r="DE67" s="546"/>
      <c r="DF67" s="546"/>
      <c r="DG67" s="546"/>
      <c r="DH67" s="546"/>
      <c r="DI67" s="546"/>
      <c r="DJ67" s="546"/>
      <c r="DK67" s="546"/>
      <c r="DL67" s="546"/>
      <c r="DM67" s="546"/>
      <c r="DN67" s="546"/>
      <c r="DO67" s="546"/>
      <c r="DP67" s="546"/>
      <c r="DQ67" s="546"/>
      <c r="DR67" s="546"/>
      <c r="DS67" s="546"/>
      <c r="DT67" s="546"/>
      <c r="DU67" s="546"/>
      <c r="DV67" s="546"/>
      <c r="DW67" s="546"/>
      <c r="DX67" s="546"/>
      <c r="DY67" s="546"/>
      <c r="DZ67" s="546"/>
      <c r="EA67" s="546"/>
      <c r="EB67" s="546"/>
      <c r="EC67" s="546"/>
    </row>
    <row r="68" spans="1:133" s="651" customFormat="1" ht="15" customHeight="1">
      <c r="BS68" s="546"/>
      <c r="BT68" s="546"/>
      <c r="BU68" s="546"/>
      <c r="BV68" s="546"/>
      <c r="BW68" s="546"/>
      <c r="BX68" s="546"/>
      <c r="BY68" s="546"/>
      <c r="BZ68" s="546"/>
      <c r="CA68" s="546"/>
      <c r="CB68" s="546"/>
      <c r="CC68" s="546"/>
      <c r="CD68" s="546"/>
      <c r="CE68" s="546"/>
      <c r="CF68" s="546"/>
      <c r="CG68" s="546"/>
      <c r="CH68" s="546"/>
      <c r="CI68" s="546"/>
      <c r="CJ68" s="546"/>
      <c r="CK68" s="546"/>
      <c r="CL68" s="546"/>
      <c r="CM68" s="546"/>
      <c r="CN68" s="546"/>
      <c r="CO68" s="546"/>
      <c r="CP68" s="546"/>
      <c r="CQ68" s="546"/>
      <c r="CR68" s="546"/>
      <c r="CS68" s="546"/>
      <c r="CT68" s="546"/>
      <c r="CU68" s="546"/>
      <c r="CV68" s="546"/>
      <c r="CW68" s="546"/>
      <c r="CX68" s="546"/>
      <c r="CY68" s="546"/>
      <c r="CZ68" s="546"/>
      <c r="DA68" s="546"/>
      <c r="DB68" s="546"/>
      <c r="DC68" s="546"/>
      <c r="DD68" s="546"/>
      <c r="DE68" s="546"/>
      <c r="DF68" s="546"/>
      <c r="DG68" s="546"/>
      <c r="DH68" s="546"/>
      <c r="DI68" s="546"/>
      <c r="DJ68" s="546"/>
      <c r="DK68" s="546"/>
      <c r="DL68" s="546"/>
      <c r="DM68" s="546"/>
      <c r="DN68" s="546"/>
      <c r="DO68" s="546"/>
      <c r="DP68" s="546"/>
      <c r="DQ68" s="546"/>
      <c r="DR68" s="546"/>
      <c r="DS68" s="546"/>
      <c r="DT68" s="546"/>
      <c r="DU68" s="546"/>
      <c r="DV68" s="546"/>
      <c r="DW68" s="546"/>
      <c r="DX68" s="546"/>
      <c r="DY68" s="546"/>
      <c r="DZ68" s="546"/>
      <c r="EA68" s="546"/>
      <c r="EB68" s="546"/>
      <c r="EC68" s="546"/>
    </row>
    <row r="69" spans="1:133" s="651" customFormat="1" ht="9.9499999999999993" customHeight="1">
      <c r="BS69" s="546"/>
      <c r="BT69" s="546"/>
      <c r="BU69" s="546"/>
      <c r="BV69" s="546"/>
      <c r="BW69" s="546"/>
      <c r="BX69" s="546"/>
      <c r="BY69" s="546"/>
      <c r="BZ69" s="546"/>
      <c r="CA69" s="546"/>
      <c r="CB69" s="546"/>
      <c r="CC69" s="546"/>
      <c r="CD69" s="546"/>
      <c r="CE69" s="546"/>
      <c r="CF69" s="546"/>
      <c r="CG69" s="546"/>
      <c r="CH69" s="546"/>
      <c r="CI69" s="546"/>
      <c r="CJ69" s="546"/>
      <c r="CK69" s="546"/>
      <c r="CL69" s="546"/>
      <c r="CM69" s="546"/>
      <c r="CN69" s="546"/>
      <c r="CO69" s="546"/>
      <c r="CP69" s="546"/>
      <c r="CQ69" s="546"/>
      <c r="CR69" s="546"/>
      <c r="CS69" s="546"/>
      <c r="CT69" s="546"/>
      <c r="CU69" s="546"/>
      <c r="CV69" s="546"/>
      <c r="CW69" s="546"/>
      <c r="CX69" s="546"/>
      <c r="CY69" s="546"/>
      <c r="CZ69" s="546"/>
      <c r="DA69" s="546"/>
      <c r="DB69" s="546"/>
      <c r="DC69" s="546"/>
      <c r="DD69" s="546"/>
      <c r="DE69" s="546"/>
      <c r="DF69" s="546"/>
      <c r="DG69" s="546"/>
      <c r="DH69" s="546"/>
      <c r="DI69" s="546"/>
      <c r="DJ69" s="546"/>
      <c r="DK69" s="546"/>
      <c r="DL69" s="546"/>
      <c r="DM69" s="546"/>
      <c r="DN69" s="546"/>
      <c r="DO69" s="546"/>
      <c r="DP69" s="546"/>
      <c r="DQ69" s="546"/>
      <c r="DR69" s="546"/>
      <c r="DS69" s="546"/>
      <c r="DT69" s="546"/>
      <c r="DU69" s="546"/>
      <c r="DV69" s="546"/>
      <c r="DW69" s="546"/>
      <c r="DX69" s="546"/>
      <c r="DY69" s="546"/>
      <c r="DZ69" s="546"/>
      <c r="EA69" s="546"/>
      <c r="EB69" s="546"/>
      <c r="EC69" s="546"/>
    </row>
    <row r="70" spans="1:133" s="651" customFormat="1" ht="9.9499999999999993" customHeight="1">
      <c r="BS70" s="546"/>
      <c r="BT70" s="546"/>
      <c r="BU70" s="546"/>
      <c r="BV70" s="546"/>
      <c r="BW70" s="546"/>
      <c r="BX70" s="546"/>
      <c r="BY70" s="546"/>
      <c r="BZ70" s="546"/>
      <c r="CA70" s="546"/>
      <c r="CB70" s="546"/>
      <c r="CC70" s="546"/>
      <c r="CD70" s="546"/>
      <c r="CE70" s="546"/>
      <c r="CF70" s="546"/>
      <c r="CG70" s="546"/>
      <c r="CH70" s="546"/>
      <c r="CI70" s="546"/>
      <c r="CJ70" s="546"/>
      <c r="CK70" s="546"/>
      <c r="CL70" s="546"/>
      <c r="CM70" s="546"/>
      <c r="CN70" s="546"/>
      <c r="CO70" s="546"/>
      <c r="CP70" s="546"/>
      <c r="CQ70" s="546"/>
      <c r="CR70" s="546"/>
      <c r="CS70" s="546"/>
      <c r="CT70" s="546"/>
      <c r="CU70" s="546"/>
      <c r="CV70" s="546"/>
      <c r="CW70" s="546"/>
      <c r="CX70" s="546"/>
      <c r="CY70" s="546"/>
      <c r="CZ70" s="546"/>
      <c r="DA70" s="546"/>
      <c r="DB70" s="546"/>
      <c r="DC70" s="546"/>
      <c r="DD70" s="546"/>
      <c r="DE70" s="546"/>
      <c r="DF70" s="546"/>
      <c r="DG70" s="546"/>
      <c r="DH70" s="546"/>
      <c r="DI70" s="546"/>
      <c r="DJ70" s="546"/>
      <c r="DK70" s="546"/>
      <c r="DL70" s="546"/>
      <c r="DM70" s="546"/>
      <c r="DN70" s="546"/>
      <c r="DO70" s="546"/>
      <c r="DP70" s="546"/>
      <c r="DQ70" s="546"/>
      <c r="DR70" s="546"/>
      <c r="DS70" s="546"/>
      <c r="DT70" s="546"/>
      <c r="DU70" s="546"/>
      <c r="DV70" s="546"/>
      <c r="DW70" s="546"/>
      <c r="DX70" s="546"/>
      <c r="DY70" s="546"/>
      <c r="DZ70" s="546"/>
      <c r="EA70" s="546"/>
      <c r="EB70" s="546"/>
      <c r="EC70" s="546"/>
    </row>
    <row r="71" spans="1:133" s="651" customFormat="1" ht="9.9499999999999993" customHeight="1">
      <c r="BS71" s="546"/>
      <c r="BT71" s="546"/>
      <c r="BU71" s="546"/>
      <c r="BV71" s="546"/>
      <c r="BW71" s="546"/>
      <c r="BX71" s="546"/>
      <c r="BY71" s="546"/>
      <c r="BZ71" s="546"/>
      <c r="CA71" s="546"/>
      <c r="CB71" s="546"/>
      <c r="CC71" s="546"/>
      <c r="CD71" s="546"/>
      <c r="CE71" s="546"/>
      <c r="CF71" s="546"/>
      <c r="CG71" s="546"/>
      <c r="CH71" s="546"/>
      <c r="CI71" s="546"/>
      <c r="CJ71" s="546"/>
      <c r="CK71" s="546"/>
      <c r="CL71" s="546"/>
      <c r="CM71" s="546"/>
      <c r="CN71" s="546"/>
      <c r="CO71" s="546"/>
      <c r="CP71" s="546"/>
      <c r="CQ71" s="546"/>
      <c r="CR71" s="546"/>
      <c r="CS71" s="546"/>
      <c r="CT71" s="546"/>
      <c r="CU71" s="546"/>
      <c r="CV71" s="546"/>
      <c r="CW71" s="546"/>
      <c r="CX71" s="546"/>
      <c r="CY71" s="546"/>
      <c r="CZ71" s="546"/>
      <c r="DA71" s="546"/>
      <c r="DB71" s="546"/>
      <c r="DC71" s="546"/>
      <c r="DD71" s="546"/>
      <c r="DE71" s="546"/>
      <c r="DF71" s="546"/>
      <c r="DG71" s="546"/>
      <c r="DH71" s="546"/>
      <c r="DI71" s="546"/>
      <c r="DJ71" s="546"/>
      <c r="DK71" s="546"/>
      <c r="DL71" s="546"/>
      <c r="DM71" s="546"/>
      <c r="DN71" s="546"/>
      <c r="DO71" s="546"/>
      <c r="DP71" s="546"/>
      <c r="DQ71" s="546"/>
      <c r="DR71" s="546"/>
      <c r="DS71" s="546"/>
      <c r="DT71" s="546"/>
      <c r="DU71" s="546"/>
      <c r="DV71" s="546"/>
      <c r="DW71" s="546"/>
      <c r="DX71" s="546"/>
      <c r="DY71" s="546"/>
      <c r="DZ71" s="546"/>
      <c r="EA71" s="546"/>
      <c r="EB71" s="546"/>
      <c r="EC71" s="546"/>
    </row>
    <row r="72" spans="1:133" s="651" customFormat="1" ht="9.9499999999999993" customHeight="1">
      <c r="BS72" s="546"/>
      <c r="BT72" s="546"/>
      <c r="BU72" s="546"/>
      <c r="BV72" s="546"/>
      <c r="BW72" s="546"/>
      <c r="BX72" s="546"/>
      <c r="BY72" s="546"/>
      <c r="BZ72" s="546"/>
      <c r="CA72" s="546"/>
      <c r="CB72" s="546"/>
      <c r="CC72" s="546"/>
      <c r="CD72" s="546"/>
      <c r="CE72" s="546"/>
      <c r="CF72" s="546"/>
      <c r="CG72" s="546"/>
      <c r="CH72" s="546"/>
      <c r="CI72" s="546"/>
      <c r="CJ72" s="546"/>
      <c r="CK72" s="546"/>
      <c r="CL72" s="546"/>
      <c r="CM72" s="546"/>
      <c r="CN72" s="546"/>
      <c r="CO72" s="546"/>
      <c r="CP72" s="546"/>
      <c r="CQ72" s="546"/>
      <c r="CR72" s="546"/>
      <c r="CS72" s="546"/>
      <c r="CT72" s="546"/>
      <c r="CU72" s="546"/>
      <c r="CV72" s="546"/>
      <c r="CW72" s="546"/>
      <c r="CX72" s="546"/>
      <c r="CY72" s="546"/>
      <c r="CZ72" s="546"/>
      <c r="DA72" s="546"/>
      <c r="DB72" s="546"/>
      <c r="DC72" s="546"/>
      <c r="DD72" s="546"/>
      <c r="DE72" s="546"/>
      <c r="DF72" s="546"/>
      <c r="DG72" s="546"/>
      <c r="DH72" s="546"/>
      <c r="DI72" s="546"/>
      <c r="DJ72" s="546"/>
      <c r="DK72" s="546"/>
      <c r="DL72" s="546"/>
      <c r="DM72" s="546"/>
      <c r="DN72" s="546"/>
      <c r="DO72" s="546"/>
      <c r="DP72" s="546"/>
      <c r="DQ72" s="546"/>
      <c r="DR72" s="546"/>
      <c r="DS72" s="546"/>
      <c r="DT72" s="546"/>
      <c r="DU72" s="546"/>
      <c r="DV72" s="546"/>
      <c r="DW72" s="546"/>
      <c r="DX72" s="546"/>
      <c r="DY72" s="546"/>
      <c r="DZ72" s="546"/>
      <c r="EA72" s="546"/>
      <c r="EB72" s="546"/>
      <c r="EC72" s="546"/>
    </row>
    <row r="73" spans="1:133" s="651" customFormat="1">
      <c r="BS73" s="546"/>
      <c r="BT73" s="546"/>
      <c r="BU73" s="546"/>
      <c r="BV73" s="546"/>
      <c r="BW73" s="546"/>
      <c r="BX73" s="546"/>
      <c r="BY73" s="546"/>
      <c r="BZ73" s="546"/>
      <c r="CA73" s="546"/>
      <c r="CB73" s="546"/>
      <c r="CC73" s="546"/>
      <c r="CD73" s="546"/>
      <c r="CE73" s="546"/>
      <c r="CF73" s="546"/>
      <c r="CG73" s="546"/>
      <c r="CH73" s="546"/>
      <c r="CI73" s="546"/>
      <c r="CJ73" s="546"/>
      <c r="CK73" s="546"/>
      <c r="CL73" s="546"/>
      <c r="CM73" s="546"/>
      <c r="CN73" s="546"/>
      <c r="CO73" s="546"/>
      <c r="CP73" s="546"/>
      <c r="CQ73" s="546"/>
      <c r="CR73" s="546"/>
      <c r="CS73" s="546"/>
      <c r="CT73" s="546"/>
      <c r="CU73" s="546"/>
      <c r="CV73" s="546"/>
      <c r="CW73" s="546"/>
      <c r="CX73" s="546"/>
      <c r="CY73" s="546"/>
      <c r="CZ73" s="546"/>
      <c r="DA73" s="546"/>
      <c r="DB73" s="546"/>
      <c r="DC73" s="546"/>
      <c r="DD73" s="546"/>
      <c r="DE73" s="546"/>
      <c r="DF73" s="546"/>
      <c r="DG73" s="546"/>
      <c r="DH73" s="546"/>
      <c r="DI73" s="546"/>
      <c r="DJ73" s="546"/>
      <c r="DK73" s="546"/>
      <c r="DL73" s="546"/>
      <c r="DM73" s="546"/>
      <c r="DN73" s="546"/>
      <c r="DO73" s="546"/>
      <c r="DP73" s="546"/>
      <c r="DQ73" s="546"/>
      <c r="DR73" s="546"/>
      <c r="DS73" s="546"/>
      <c r="DT73" s="546"/>
      <c r="DU73" s="546"/>
      <c r="DV73" s="546"/>
      <c r="DW73" s="546"/>
      <c r="DX73" s="546"/>
      <c r="DY73" s="546"/>
      <c r="DZ73" s="546"/>
      <c r="EA73" s="546"/>
      <c r="EB73" s="546"/>
      <c r="EC73" s="546"/>
    </row>
    <row r="74" spans="1:133" s="651" customFormat="1" ht="15" customHeight="1">
      <c r="BS74" s="546"/>
      <c r="BT74" s="546"/>
      <c r="BU74" s="546"/>
      <c r="BV74" s="546"/>
      <c r="BW74" s="546"/>
      <c r="BX74" s="546"/>
      <c r="BY74" s="546"/>
      <c r="BZ74" s="546"/>
      <c r="CA74" s="546"/>
      <c r="CB74" s="546"/>
      <c r="CC74" s="546"/>
      <c r="CD74" s="546"/>
      <c r="CE74" s="546"/>
      <c r="CF74" s="546"/>
      <c r="CG74" s="546"/>
      <c r="CH74" s="546"/>
      <c r="CI74" s="546"/>
      <c r="CJ74" s="546"/>
      <c r="CK74" s="546"/>
      <c r="CL74" s="546"/>
      <c r="CM74" s="546"/>
      <c r="CN74" s="546"/>
      <c r="CO74" s="546"/>
      <c r="CP74" s="546"/>
      <c r="CQ74" s="546"/>
      <c r="CR74" s="546"/>
      <c r="CS74" s="546"/>
      <c r="CT74" s="546"/>
      <c r="CU74" s="546"/>
      <c r="CV74" s="546"/>
      <c r="CW74" s="546"/>
      <c r="CX74" s="546"/>
      <c r="CY74" s="546"/>
      <c r="CZ74" s="546"/>
      <c r="DA74" s="546"/>
      <c r="DB74" s="546"/>
      <c r="DC74" s="546"/>
      <c r="DD74" s="546"/>
      <c r="DE74" s="546"/>
      <c r="DF74" s="546"/>
      <c r="DG74" s="546"/>
      <c r="DH74" s="546"/>
      <c r="DI74" s="546"/>
      <c r="DJ74" s="546"/>
      <c r="DK74" s="546"/>
      <c r="DL74" s="546"/>
      <c r="DM74" s="546"/>
      <c r="DN74" s="546"/>
      <c r="DO74" s="546"/>
      <c r="DP74" s="546"/>
      <c r="DQ74" s="546"/>
      <c r="DR74" s="546"/>
      <c r="DS74" s="546"/>
      <c r="DT74" s="546"/>
      <c r="DU74" s="546"/>
      <c r="DV74" s="546"/>
      <c r="DW74" s="546"/>
      <c r="DX74" s="546"/>
      <c r="DY74" s="546"/>
      <c r="DZ74" s="546"/>
      <c r="EA74" s="546"/>
      <c r="EB74" s="546"/>
      <c r="EC74" s="546"/>
    </row>
    <row r="75" spans="1:133" s="651" customFormat="1">
      <c r="BS75" s="546"/>
      <c r="BT75" s="546"/>
      <c r="BU75" s="546"/>
      <c r="BV75" s="546"/>
      <c r="BW75" s="546"/>
      <c r="BX75" s="546"/>
      <c r="BY75" s="546"/>
      <c r="BZ75" s="546"/>
      <c r="CA75" s="546"/>
      <c r="CB75" s="546"/>
      <c r="CC75" s="546"/>
      <c r="CD75" s="546"/>
      <c r="CE75" s="546"/>
      <c r="CF75" s="546"/>
      <c r="CG75" s="546"/>
      <c r="CH75" s="546"/>
      <c r="CI75" s="546"/>
      <c r="CJ75" s="546"/>
      <c r="CK75" s="546"/>
      <c r="CL75" s="546"/>
      <c r="CM75" s="546"/>
      <c r="CN75" s="546"/>
      <c r="CO75" s="546"/>
      <c r="CP75" s="546"/>
      <c r="CQ75" s="546"/>
      <c r="CR75" s="546"/>
      <c r="CS75" s="546"/>
      <c r="CT75" s="546"/>
      <c r="CU75" s="546"/>
      <c r="CV75" s="546"/>
      <c r="CW75" s="546"/>
      <c r="CX75" s="546"/>
      <c r="CY75" s="546"/>
      <c r="CZ75" s="546"/>
      <c r="DA75" s="546"/>
      <c r="DB75" s="546"/>
      <c r="DC75" s="546"/>
      <c r="DD75" s="546"/>
      <c r="DE75" s="546"/>
      <c r="DF75" s="546"/>
      <c r="DG75" s="546"/>
      <c r="DH75" s="546"/>
      <c r="DI75" s="546"/>
      <c r="DJ75" s="546"/>
      <c r="DK75" s="546"/>
      <c r="DL75" s="546"/>
      <c r="DM75" s="546"/>
      <c r="DN75" s="546"/>
      <c r="DO75" s="546"/>
      <c r="DP75" s="546"/>
      <c r="DQ75" s="546"/>
      <c r="DR75" s="546"/>
      <c r="DS75" s="546"/>
      <c r="DT75" s="546"/>
      <c r="DU75" s="546"/>
      <c r="DV75" s="546"/>
      <c r="DW75" s="546"/>
      <c r="DX75" s="546"/>
      <c r="DY75" s="546"/>
      <c r="DZ75" s="546"/>
      <c r="EA75" s="546"/>
      <c r="EB75" s="546"/>
      <c r="EC75" s="546"/>
    </row>
    <row r="76" spans="1:133" s="651" customFormat="1" ht="8.1" customHeight="1">
      <c r="BS76" s="546"/>
      <c r="BT76" s="546"/>
      <c r="BU76" s="546"/>
      <c r="BV76" s="546"/>
      <c r="BW76" s="546"/>
      <c r="BX76" s="546"/>
      <c r="BY76" s="546"/>
      <c r="BZ76" s="546"/>
      <c r="CA76" s="546"/>
      <c r="CB76" s="546"/>
      <c r="CC76" s="546"/>
      <c r="CD76" s="546"/>
      <c r="CE76" s="546"/>
      <c r="CF76" s="546"/>
      <c r="CG76" s="546"/>
      <c r="CH76" s="546"/>
      <c r="CI76" s="546"/>
      <c r="CJ76" s="546"/>
      <c r="CK76" s="546"/>
      <c r="CL76" s="546"/>
      <c r="CM76" s="546"/>
      <c r="CN76" s="546"/>
      <c r="CO76" s="546"/>
      <c r="CP76" s="546"/>
      <c r="CQ76" s="546"/>
      <c r="CR76" s="546"/>
      <c r="CS76" s="546"/>
      <c r="CT76" s="546"/>
      <c r="CU76" s="546"/>
      <c r="CV76" s="546"/>
      <c r="CW76" s="546"/>
      <c r="CX76" s="546"/>
      <c r="CY76" s="546"/>
      <c r="CZ76" s="546"/>
      <c r="DA76" s="546"/>
      <c r="DB76" s="546"/>
      <c r="DC76" s="546"/>
      <c r="DD76" s="546"/>
      <c r="DE76" s="546"/>
      <c r="DF76" s="546"/>
      <c r="DG76" s="546"/>
      <c r="DH76" s="546"/>
      <c r="DI76" s="546"/>
      <c r="DJ76" s="546"/>
      <c r="DK76" s="546"/>
      <c r="DL76" s="546"/>
      <c r="DM76" s="546"/>
      <c r="DN76" s="546"/>
      <c r="DO76" s="546"/>
      <c r="DP76" s="546"/>
      <c r="DQ76" s="546"/>
      <c r="DR76" s="546"/>
      <c r="DS76" s="546"/>
      <c r="DT76" s="546"/>
      <c r="DU76" s="546"/>
      <c r="DV76" s="546"/>
      <c r="DW76" s="546"/>
      <c r="DX76" s="546"/>
      <c r="DY76" s="546"/>
      <c r="DZ76" s="546"/>
      <c r="EA76" s="546"/>
      <c r="EB76" s="546"/>
      <c r="EC76" s="546"/>
    </row>
    <row r="77" spans="1:133" s="651" customFormat="1">
      <c r="BS77" s="546"/>
      <c r="BT77" s="546"/>
      <c r="BU77" s="546"/>
      <c r="BV77" s="546"/>
      <c r="BW77" s="546"/>
      <c r="BX77" s="546"/>
      <c r="BY77" s="546"/>
      <c r="BZ77" s="546"/>
      <c r="CA77" s="546"/>
      <c r="CB77" s="546"/>
      <c r="CC77" s="546"/>
      <c r="CD77" s="546"/>
      <c r="CE77" s="546"/>
      <c r="CF77" s="546"/>
      <c r="CG77" s="546"/>
      <c r="CH77" s="546"/>
      <c r="CI77" s="546"/>
      <c r="CJ77" s="546"/>
      <c r="CK77" s="546"/>
      <c r="CL77" s="546"/>
      <c r="CM77" s="546"/>
      <c r="CN77" s="546"/>
      <c r="CO77" s="546"/>
      <c r="CP77" s="546"/>
      <c r="CQ77" s="546"/>
      <c r="CR77" s="546"/>
      <c r="CS77" s="546"/>
      <c r="CT77" s="546"/>
      <c r="CU77" s="546"/>
      <c r="CV77" s="546"/>
      <c r="CW77" s="546"/>
      <c r="CX77" s="546"/>
      <c r="CY77" s="546"/>
      <c r="CZ77" s="546"/>
      <c r="DA77" s="546"/>
      <c r="DB77" s="546"/>
      <c r="DC77" s="546"/>
      <c r="DD77" s="546"/>
      <c r="DE77" s="546"/>
      <c r="DF77" s="546"/>
      <c r="DG77" s="546"/>
      <c r="DH77" s="546"/>
      <c r="DI77" s="546"/>
      <c r="DJ77" s="546"/>
      <c r="DK77" s="546"/>
      <c r="DL77" s="546"/>
      <c r="DM77" s="546"/>
      <c r="DN77" s="546"/>
      <c r="DO77" s="546"/>
      <c r="DP77" s="546"/>
      <c r="DQ77" s="546"/>
      <c r="DR77" s="546"/>
      <c r="DS77" s="546"/>
      <c r="DT77" s="546"/>
      <c r="DU77" s="546"/>
      <c r="DV77" s="546"/>
      <c r="DW77" s="546"/>
      <c r="DX77" s="546"/>
      <c r="DY77" s="546"/>
      <c r="DZ77" s="546"/>
      <c r="EA77" s="546"/>
      <c r="EB77" s="546"/>
      <c r="EC77" s="546"/>
    </row>
    <row r="78" spans="1:133" s="651" customFormat="1">
      <c r="BS78" s="546"/>
      <c r="BT78" s="546"/>
      <c r="BU78" s="546"/>
      <c r="BV78" s="546"/>
      <c r="BW78" s="546"/>
      <c r="BX78" s="546"/>
      <c r="BY78" s="546"/>
      <c r="BZ78" s="546"/>
      <c r="CA78" s="546"/>
      <c r="CB78" s="546"/>
      <c r="CC78" s="546"/>
      <c r="CD78" s="546"/>
      <c r="CE78" s="546"/>
      <c r="CF78" s="546"/>
      <c r="CG78" s="546"/>
      <c r="CH78" s="546"/>
      <c r="CI78" s="546"/>
      <c r="CJ78" s="546"/>
      <c r="CK78" s="546"/>
      <c r="CL78" s="546"/>
      <c r="CM78" s="546"/>
      <c r="CN78" s="546"/>
      <c r="CO78" s="546"/>
      <c r="CP78" s="546"/>
      <c r="CQ78" s="546"/>
      <c r="CR78" s="546"/>
      <c r="CS78" s="546"/>
      <c r="CT78" s="546"/>
      <c r="CU78" s="546"/>
      <c r="CV78" s="546"/>
      <c r="CW78" s="546"/>
      <c r="CX78" s="546"/>
      <c r="CY78" s="546"/>
      <c r="CZ78" s="546"/>
      <c r="DA78" s="546"/>
      <c r="DB78" s="546"/>
      <c r="DC78" s="546"/>
      <c r="DD78" s="546"/>
      <c r="DE78" s="546"/>
      <c r="DF78" s="546"/>
      <c r="DG78" s="546"/>
      <c r="DH78" s="546"/>
      <c r="DI78" s="546"/>
      <c r="DJ78" s="546"/>
      <c r="DK78" s="546"/>
      <c r="DL78" s="546"/>
      <c r="DM78" s="546"/>
      <c r="DN78" s="546"/>
      <c r="DO78" s="546"/>
      <c r="DP78" s="546"/>
      <c r="DQ78" s="546"/>
      <c r="DR78" s="546"/>
      <c r="DS78" s="546"/>
      <c r="DT78" s="546"/>
      <c r="DU78" s="546"/>
      <c r="DV78" s="546"/>
      <c r="DW78" s="546"/>
      <c r="DX78" s="546"/>
      <c r="DY78" s="546"/>
      <c r="DZ78" s="546"/>
      <c r="EA78" s="546"/>
      <c r="EB78" s="546"/>
      <c r="EC78" s="546"/>
    </row>
    <row r="79" spans="1:133" s="651" customFormat="1">
      <c r="BS79" s="546"/>
      <c r="BT79" s="546"/>
      <c r="BU79" s="546"/>
      <c r="BV79" s="546"/>
      <c r="BW79" s="546"/>
      <c r="BX79" s="546"/>
      <c r="BY79" s="546"/>
      <c r="BZ79" s="546"/>
      <c r="CA79" s="546"/>
      <c r="CB79" s="546"/>
      <c r="CC79" s="546"/>
      <c r="CD79" s="546"/>
      <c r="CE79" s="546"/>
      <c r="CF79" s="546"/>
      <c r="CG79" s="546"/>
      <c r="CH79" s="546"/>
      <c r="CI79" s="546"/>
      <c r="CJ79" s="546"/>
      <c r="CK79" s="546"/>
      <c r="CL79" s="546"/>
      <c r="CM79" s="546"/>
      <c r="CN79" s="546"/>
      <c r="CO79" s="546"/>
      <c r="CP79" s="546"/>
      <c r="CQ79" s="546"/>
      <c r="CR79" s="546"/>
      <c r="CS79" s="546"/>
      <c r="CT79" s="546"/>
      <c r="CU79" s="546"/>
      <c r="CV79" s="546"/>
      <c r="CW79" s="546"/>
      <c r="CX79" s="546"/>
      <c r="CY79" s="546"/>
      <c r="CZ79" s="546"/>
      <c r="DA79" s="546"/>
      <c r="DB79" s="546"/>
      <c r="DC79" s="546"/>
      <c r="DD79" s="546"/>
      <c r="DE79" s="546"/>
      <c r="DF79" s="546"/>
      <c r="DG79" s="546"/>
      <c r="DH79" s="546"/>
      <c r="DI79" s="546"/>
      <c r="DJ79" s="546"/>
      <c r="DK79" s="546"/>
      <c r="DL79" s="546"/>
      <c r="DM79" s="546"/>
      <c r="DN79" s="546"/>
      <c r="DO79" s="546"/>
      <c r="DP79" s="546"/>
      <c r="DQ79" s="546"/>
      <c r="DR79" s="546"/>
      <c r="DS79" s="546"/>
      <c r="DT79" s="546"/>
      <c r="DU79" s="546"/>
      <c r="DV79" s="546"/>
      <c r="DW79" s="546"/>
      <c r="DX79" s="546"/>
      <c r="DY79" s="546"/>
      <c r="DZ79" s="546"/>
      <c r="EA79" s="546"/>
      <c r="EB79" s="546"/>
      <c r="EC79" s="546"/>
    </row>
    <row r="80" spans="1:133" s="651" customFormat="1">
      <c r="BS80" s="546"/>
      <c r="BT80" s="546"/>
      <c r="BU80" s="546"/>
      <c r="BV80" s="546"/>
      <c r="BW80" s="546"/>
      <c r="BX80" s="546"/>
      <c r="BY80" s="546"/>
      <c r="BZ80" s="546"/>
      <c r="CA80" s="546"/>
      <c r="CB80" s="546"/>
      <c r="CC80" s="546"/>
      <c r="CD80" s="546"/>
      <c r="CE80" s="546"/>
      <c r="CF80" s="546"/>
      <c r="CG80" s="546"/>
      <c r="CH80" s="546"/>
      <c r="CI80" s="546"/>
      <c r="CJ80" s="546"/>
      <c r="CK80" s="546"/>
      <c r="CL80" s="546"/>
      <c r="CM80" s="546"/>
      <c r="CN80" s="546"/>
      <c r="CO80" s="546"/>
      <c r="CP80" s="546"/>
      <c r="CQ80" s="546"/>
      <c r="CR80" s="546"/>
      <c r="CS80" s="546"/>
      <c r="CT80" s="546"/>
      <c r="CU80" s="546"/>
      <c r="CV80" s="546"/>
      <c r="CW80" s="546"/>
      <c r="CX80" s="546"/>
      <c r="CY80" s="546"/>
      <c r="CZ80" s="546"/>
      <c r="DA80" s="546"/>
      <c r="DB80" s="546"/>
      <c r="DC80" s="546"/>
      <c r="DD80" s="546"/>
      <c r="DE80" s="546"/>
      <c r="DF80" s="546"/>
      <c r="DG80" s="546"/>
      <c r="DH80" s="546"/>
      <c r="DI80" s="546"/>
      <c r="DJ80" s="546"/>
      <c r="DK80" s="546"/>
      <c r="DL80" s="546"/>
      <c r="DM80" s="546"/>
      <c r="DN80" s="546"/>
      <c r="DO80" s="546"/>
      <c r="DP80" s="546"/>
      <c r="DQ80" s="546"/>
      <c r="DR80" s="546"/>
      <c r="DS80" s="546"/>
      <c r="DT80" s="546"/>
      <c r="DU80" s="546"/>
      <c r="DV80" s="546"/>
      <c r="DW80" s="546"/>
      <c r="DX80" s="546"/>
      <c r="DY80" s="546"/>
      <c r="DZ80" s="546"/>
      <c r="EA80" s="546"/>
      <c r="EB80" s="546"/>
      <c r="EC80" s="546"/>
    </row>
    <row r="81" spans="71:133" s="651" customFormat="1">
      <c r="BS81" s="546"/>
      <c r="BT81" s="546"/>
      <c r="BU81" s="546"/>
      <c r="BV81" s="546"/>
      <c r="BW81" s="546"/>
      <c r="BX81" s="546"/>
      <c r="BY81" s="546"/>
      <c r="BZ81" s="546"/>
      <c r="CA81" s="546"/>
      <c r="CB81" s="546"/>
      <c r="CC81" s="546"/>
      <c r="CD81" s="546"/>
      <c r="CE81" s="546"/>
      <c r="CF81" s="546"/>
      <c r="CG81" s="546"/>
      <c r="CH81" s="546"/>
      <c r="CI81" s="546"/>
      <c r="CJ81" s="546"/>
      <c r="CK81" s="546"/>
      <c r="CL81" s="546"/>
      <c r="CM81" s="546"/>
      <c r="CN81" s="546"/>
      <c r="CO81" s="546"/>
      <c r="CP81" s="546"/>
      <c r="CQ81" s="546"/>
      <c r="CR81" s="546"/>
      <c r="CS81" s="546"/>
      <c r="CT81" s="546"/>
      <c r="CU81" s="546"/>
      <c r="CV81" s="546"/>
      <c r="CW81" s="546"/>
      <c r="CX81" s="546"/>
      <c r="CY81" s="546"/>
      <c r="CZ81" s="546"/>
      <c r="DA81" s="546"/>
      <c r="DB81" s="546"/>
      <c r="DC81" s="546"/>
      <c r="DD81" s="546"/>
      <c r="DE81" s="546"/>
      <c r="DF81" s="546"/>
      <c r="DG81" s="546"/>
      <c r="DH81" s="546"/>
      <c r="DI81" s="546"/>
      <c r="DJ81" s="546"/>
      <c r="DK81" s="546"/>
      <c r="DL81" s="546"/>
      <c r="DM81" s="546"/>
      <c r="DN81" s="546"/>
      <c r="DO81" s="546"/>
      <c r="DP81" s="546"/>
      <c r="DQ81" s="546"/>
      <c r="DR81" s="546"/>
      <c r="DS81" s="546"/>
      <c r="DT81" s="546"/>
      <c r="DU81" s="546"/>
      <c r="DV81" s="546"/>
      <c r="DW81" s="546"/>
      <c r="DX81" s="546"/>
      <c r="DY81" s="546"/>
      <c r="DZ81" s="546"/>
      <c r="EA81" s="546"/>
      <c r="EB81" s="546"/>
      <c r="EC81" s="546"/>
    </row>
    <row r="82" spans="71:133" s="651" customFormat="1">
      <c r="BS82" s="546"/>
      <c r="BT82" s="546"/>
      <c r="BU82" s="546"/>
      <c r="BV82" s="546"/>
      <c r="BW82" s="546"/>
      <c r="BX82" s="546"/>
      <c r="BY82" s="546"/>
      <c r="BZ82" s="546"/>
      <c r="CA82" s="546"/>
      <c r="CB82" s="546"/>
      <c r="CC82" s="546"/>
      <c r="CD82" s="546"/>
      <c r="CE82" s="546"/>
      <c r="CF82" s="546"/>
      <c r="CG82" s="546"/>
      <c r="CH82" s="546"/>
      <c r="CI82" s="546"/>
      <c r="CJ82" s="546"/>
      <c r="CK82" s="546"/>
      <c r="CL82" s="546"/>
      <c r="CM82" s="546"/>
      <c r="CN82" s="546"/>
      <c r="CO82" s="546"/>
      <c r="CP82" s="546"/>
      <c r="CQ82" s="546"/>
      <c r="CR82" s="546"/>
      <c r="CS82" s="546"/>
      <c r="CT82" s="546"/>
      <c r="CU82" s="546"/>
      <c r="CV82" s="546"/>
      <c r="CW82" s="546"/>
      <c r="CX82" s="546"/>
      <c r="CY82" s="546"/>
      <c r="CZ82" s="546"/>
      <c r="DA82" s="546"/>
      <c r="DB82" s="546"/>
      <c r="DC82" s="546"/>
      <c r="DD82" s="546"/>
      <c r="DE82" s="546"/>
      <c r="DF82" s="546"/>
      <c r="DG82" s="546"/>
      <c r="DH82" s="546"/>
      <c r="DI82" s="546"/>
      <c r="DJ82" s="546"/>
      <c r="DK82" s="546"/>
      <c r="DL82" s="546"/>
      <c r="DM82" s="546"/>
      <c r="DN82" s="546"/>
      <c r="DO82" s="546"/>
      <c r="DP82" s="546"/>
      <c r="DQ82" s="546"/>
      <c r="DR82" s="546"/>
      <c r="DS82" s="546"/>
      <c r="DT82" s="546"/>
      <c r="DU82" s="546"/>
      <c r="DV82" s="546"/>
      <c r="DW82" s="546"/>
      <c r="DX82" s="546"/>
      <c r="DY82" s="546"/>
      <c r="DZ82" s="546"/>
      <c r="EA82" s="546"/>
      <c r="EB82" s="546"/>
      <c r="EC82" s="546"/>
    </row>
    <row r="83" spans="71:133" s="651" customFormat="1">
      <c r="BS83" s="546"/>
      <c r="BT83" s="546"/>
      <c r="BU83" s="546"/>
      <c r="BV83" s="546"/>
      <c r="BW83" s="546"/>
      <c r="BX83" s="546"/>
      <c r="BY83" s="546"/>
      <c r="BZ83" s="546"/>
      <c r="CA83" s="546"/>
      <c r="CB83" s="546"/>
      <c r="CC83" s="546"/>
      <c r="CD83" s="546"/>
      <c r="CE83" s="546"/>
      <c r="CF83" s="546"/>
      <c r="CG83" s="546"/>
      <c r="CH83" s="546"/>
      <c r="CI83" s="546"/>
      <c r="CJ83" s="546"/>
      <c r="CK83" s="546"/>
      <c r="CL83" s="546"/>
      <c r="CM83" s="546"/>
      <c r="CN83" s="546"/>
      <c r="CO83" s="546"/>
      <c r="CP83" s="546"/>
      <c r="CQ83" s="546"/>
      <c r="CR83" s="546"/>
      <c r="CS83" s="546"/>
      <c r="CT83" s="546"/>
      <c r="CU83" s="546"/>
      <c r="CV83" s="546"/>
      <c r="CW83" s="546"/>
      <c r="CX83" s="546"/>
      <c r="CY83" s="546"/>
      <c r="CZ83" s="546"/>
      <c r="DA83" s="546"/>
      <c r="DB83" s="546"/>
      <c r="DC83" s="546"/>
      <c r="DD83" s="546"/>
      <c r="DE83" s="546"/>
      <c r="DF83" s="546"/>
      <c r="DG83" s="546"/>
      <c r="DH83" s="546"/>
      <c r="DI83" s="546"/>
      <c r="DJ83" s="546"/>
      <c r="DK83" s="546"/>
      <c r="DL83" s="546"/>
      <c r="DM83" s="546"/>
      <c r="DN83" s="546"/>
      <c r="DO83" s="546"/>
      <c r="DP83" s="546"/>
      <c r="DQ83" s="546"/>
      <c r="DR83" s="546"/>
      <c r="DS83" s="546"/>
      <c r="DT83" s="546"/>
      <c r="DU83" s="546"/>
      <c r="DV83" s="546"/>
      <c r="DW83" s="546"/>
      <c r="DX83" s="546"/>
      <c r="DY83" s="546"/>
      <c r="DZ83" s="546"/>
      <c r="EA83" s="546"/>
      <c r="EB83" s="546"/>
      <c r="EC83" s="546"/>
    </row>
    <row r="84" spans="71:133" s="651" customFormat="1">
      <c r="BS84" s="546"/>
      <c r="BT84" s="546"/>
      <c r="BU84" s="546"/>
      <c r="BV84" s="546"/>
      <c r="BW84" s="546"/>
      <c r="BX84" s="546"/>
      <c r="BY84" s="546"/>
      <c r="BZ84" s="546"/>
      <c r="CA84" s="546"/>
      <c r="CB84" s="546"/>
      <c r="CC84" s="546"/>
      <c r="CD84" s="546"/>
      <c r="CE84" s="546"/>
      <c r="CF84" s="546"/>
      <c r="CG84" s="546"/>
      <c r="CH84" s="546"/>
      <c r="CI84" s="546"/>
      <c r="CJ84" s="546"/>
      <c r="CK84" s="546"/>
      <c r="CL84" s="546"/>
      <c r="CM84" s="546"/>
      <c r="CN84" s="546"/>
      <c r="CO84" s="546"/>
      <c r="CP84" s="546"/>
      <c r="CQ84" s="546"/>
      <c r="CR84" s="546"/>
      <c r="CS84" s="546"/>
      <c r="CT84" s="546"/>
      <c r="CU84" s="546"/>
      <c r="CV84" s="546"/>
      <c r="CW84" s="546"/>
      <c r="CX84" s="546"/>
      <c r="CY84" s="546"/>
      <c r="CZ84" s="546"/>
      <c r="DA84" s="546"/>
      <c r="DB84" s="546"/>
      <c r="DC84" s="546"/>
      <c r="DD84" s="546"/>
      <c r="DE84" s="546"/>
      <c r="DF84" s="546"/>
      <c r="DG84" s="546"/>
      <c r="DH84" s="546"/>
      <c r="DI84" s="546"/>
      <c r="DJ84" s="546"/>
      <c r="DK84" s="546"/>
      <c r="DL84" s="546"/>
      <c r="DM84" s="546"/>
      <c r="DN84" s="546"/>
      <c r="DO84" s="546"/>
      <c r="DP84" s="546"/>
      <c r="DQ84" s="546"/>
      <c r="DR84" s="546"/>
      <c r="DS84" s="546"/>
      <c r="DT84" s="546"/>
      <c r="DU84" s="546"/>
      <c r="DV84" s="546"/>
      <c r="DW84" s="546"/>
      <c r="DX84" s="546"/>
      <c r="DY84" s="546"/>
      <c r="DZ84" s="546"/>
      <c r="EA84" s="546"/>
      <c r="EB84" s="546"/>
      <c r="EC84" s="546"/>
    </row>
    <row r="85" spans="71:133" s="651" customFormat="1">
      <c r="BS85" s="546"/>
      <c r="BT85" s="546"/>
      <c r="BU85" s="546"/>
      <c r="BV85" s="546"/>
      <c r="BW85" s="546"/>
      <c r="BX85" s="546"/>
      <c r="BY85" s="546"/>
      <c r="BZ85" s="546"/>
      <c r="CA85" s="546"/>
      <c r="CB85" s="546"/>
      <c r="CC85" s="546"/>
      <c r="CD85" s="546"/>
      <c r="CE85" s="546"/>
      <c r="CF85" s="546"/>
      <c r="CG85" s="546"/>
      <c r="CH85" s="546"/>
      <c r="CI85" s="546"/>
      <c r="CJ85" s="546"/>
      <c r="CK85" s="546"/>
      <c r="CL85" s="546"/>
      <c r="CM85" s="546"/>
      <c r="CN85" s="546"/>
      <c r="CO85" s="546"/>
      <c r="CP85" s="546"/>
      <c r="CQ85" s="546"/>
      <c r="CR85" s="546"/>
      <c r="CS85" s="546"/>
      <c r="CT85" s="546"/>
      <c r="CU85" s="546"/>
      <c r="CV85" s="546"/>
      <c r="CW85" s="546"/>
      <c r="CX85" s="546"/>
      <c r="CY85" s="546"/>
      <c r="CZ85" s="546"/>
      <c r="DA85" s="546"/>
      <c r="DB85" s="546"/>
      <c r="DC85" s="546"/>
      <c r="DD85" s="546"/>
      <c r="DE85" s="546"/>
      <c r="DF85" s="546"/>
      <c r="DG85" s="546"/>
      <c r="DH85" s="546"/>
      <c r="DI85" s="546"/>
      <c r="DJ85" s="546"/>
      <c r="DK85" s="546"/>
      <c r="DL85" s="546"/>
      <c r="DM85" s="546"/>
      <c r="DN85" s="546"/>
      <c r="DO85" s="546"/>
      <c r="DP85" s="546"/>
      <c r="DQ85" s="546"/>
      <c r="DR85" s="546"/>
      <c r="DS85" s="546"/>
      <c r="DT85" s="546"/>
      <c r="DU85" s="546"/>
      <c r="DV85" s="546"/>
      <c r="DW85" s="546"/>
      <c r="DX85" s="546"/>
      <c r="DY85" s="546"/>
      <c r="DZ85" s="546"/>
      <c r="EA85" s="546"/>
      <c r="EB85" s="546"/>
      <c r="EC85" s="546"/>
    </row>
    <row r="86" spans="71:133" s="651" customFormat="1">
      <c r="BS86" s="546"/>
      <c r="BT86" s="546"/>
      <c r="BU86" s="546"/>
      <c r="BV86" s="546"/>
      <c r="BW86" s="546"/>
      <c r="BX86" s="546"/>
      <c r="BY86" s="546"/>
      <c r="BZ86" s="546"/>
      <c r="CA86" s="546"/>
      <c r="CB86" s="546"/>
      <c r="CC86" s="546"/>
      <c r="CD86" s="546"/>
      <c r="CE86" s="546"/>
      <c r="CF86" s="546"/>
      <c r="CG86" s="546"/>
      <c r="CH86" s="546"/>
      <c r="CI86" s="546"/>
      <c r="CJ86" s="546"/>
      <c r="CK86" s="546"/>
      <c r="CL86" s="546"/>
      <c r="CM86" s="546"/>
      <c r="CN86" s="546"/>
      <c r="CO86" s="546"/>
      <c r="CP86" s="546"/>
      <c r="CQ86" s="546"/>
      <c r="CR86" s="546"/>
      <c r="CS86" s="546"/>
      <c r="CT86" s="546"/>
      <c r="CU86" s="546"/>
      <c r="CV86" s="546"/>
      <c r="CW86" s="546"/>
      <c r="CX86" s="546"/>
      <c r="CY86" s="546"/>
      <c r="CZ86" s="546"/>
      <c r="DA86" s="546"/>
      <c r="DB86" s="546"/>
      <c r="DC86" s="546"/>
      <c r="DD86" s="546"/>
      <c r="DE86" s="546"/>
      <c r="DF86" s="546"/>
      <c r="DG86" s="546"/>
      <c r="DH86" s="546"/>
      <c r="DI86" s="546"/>
      <c r="DJ86" s="546"/>
      <c r="DK86" s="546"/>
      <c r="DL86" s="546"/>
      <c r="DM86" s="546"/>
      <c r="DN86" s="546"/>
      <c r="DO86" s="546"/>
      <c r="DP86" s="546"/>
      <c r="DQ86" s="546"/>
      <c r="DR86" s="546"/>
      <c r="DS86" s="546"/>
      <c r="DT86" s="546"/>
      <c r="DU86" s="546"/>
      <c r="DV86" s="546"/>
      <c r="DW86" s="546"/>
      <c r="DX86" s="546"/>
      <c r="DY86" s="546"/>
      <c r="DZ86" s="546"/>
      <c r="EA86" s="546"/>
      <c r="EB86" s="546"/>
      <c r="EC86" s="546"/>
    </row>
    <row r="87" spans="71:133" s="651" customFormat="1">
      <c r="BS87" s="546"/>
      <c r="BT87" s="546"/>
      <c r="BU87" s="546"/>
      <c r="BV87" s="546"/>
      <c r="BW87" s="546"/>
      <c r="BX87" s="546"/>
      <c r="BY87" s="546"/>
      <c r="BZ87" s="546"/>
      <c r="CA87" s="546"/>
      <c r="CB87" s="546"/>
      <c r="CC87" s="546"/>
      <c r="CD87" s="546"/>
      <c r="CE87" s="546"/>
      <c r="CF87" s="546"/>
      <c r="CG87" s="546"/>
      <c r="CH87" s="546"/>
      <c r="CI87" s="546"/>
      <c r="CJ87" s="546"/>
      <c r="CK87" s="546"/>
      <c r="CL87" s="546"/>
      <c r="CM87" s="546"/>
      <c r="CN87" s="546"/>
      <c r="CO87" s="546"/>
      <c r="CP87" s="546"/>
      <c r="CQ87" s="546"/>
      <c r="CR87" s="546"/>
      <c r="CS87" s="546"/>
      <c r="CT87" s="546"/>
      <c r="CU87" s="546"/>
      <c r="CV87" s="546"/>
      <c r="CW87" s="546"/>
      <c r="CX87" s="546"/>
      <c r="CY87" s="546"/>
      <c r="CZ87" s="546"/>
      <c r="DA87" s="546"/>
      <c r="DB87" s="546"/>
      <c r="DC87" s="546"/>
      <c r="DD87" s="546"/>
      <c r="DE87" s="546"/>
      <c r="DF87" s="546"/>
      <c r="DG87" s="546"/>
      <c r="DH87" s="546"/>
      <c r="DI87" s="546"/>
      <c r="DJ87" s="546"/>
      <c r="DK87" s="546"/>
      <c r="DL87" s="546"/>
      <c r="DM87" s="546"/>
      <c r="DN87" s="546"/>
      <c r="DO87" s="546"/>
      <c r="DP87" s="546"/>
      <c r="DQ87" s="546"/>
      <c r="DR87" s="546"/>
      <c r="DS87" s="546"/>
      <c r="DT87" s="546"/>
      <c r="DU87" s="546"/>
      <c r="DV87" s="546"/>
      <c r="DW87" s="546"/>
      <c r="DX87" s="546"/>
      <c r="DY87" s="546"/>
      <c r="DZ87" s="546"/>
      <c r="EA87" s="546"/>
      <c r="EB87" s="546"/>
      <c r="EC87" s="546"/>
    </row>
    <row r="88" spans="71:133" s="651" customFormat="1">
      <c r="BS88" s="546"/>
      <c r="BT88" s="546"/>
      <c r="BU88" s="546"/>
      <c r="BV88" s="546"/>
      <c r="BW88" s="546"/>
      <c r="BX88" s="546"/>
      <c r="BY88" s="546"/>
      <c r="BZ88" s="546"/>
      <c r="CA88" s="546"/>
      <c r="CB88" s="546"/>
      <c r="CC88" s="546"/>
      <c r="CD88" s="546"/>
      <c r="CE88" s="546"/>
      <c r="CF88" s="546"/>
      <c r="CG88" s="546"/>
      <c r="CH88" s="546"/>
      <c r="CI88" s="546"/>
      <c r="CJ88" s="546"/>
      <c r="CK88" s="546"/>
      <c r="CL88" s="546"/>
      <c r="CM88" s="546"/>
      <c r="CN88" s="546"/>
      <c r="CO88" s="546"/>
      <c r="CP88" s="546"/>
      <c r="CQ88" s="546"/>
      <c r="CR88" s="546"/>
      <c r="CS88" s="546"/>
      <c r="CT88" s="546"/>
      <c r="CU88" s="546"/>
      <c r="CV88" s="546"/>
      <c r="CW88" s="546"/>
      <c r="CX88" s="546"/>
      <c r="CY88" s="546"/>
      <c r="CZ88" s="546"/>
      <c r="DA88" s="546"/>
      <c r="DB88" s="546"/>
      <c r="DC88" s="546"/>
      <c r="DD88" s="546"/>
      <c r="DE88" s="546"/>
      <c r="DF88" s="546"/>
      <c r="DG88" s="546"/>
      <c r="DH88" s="546"/>
      <c r="DI88" s="546"/>
      <c r="DJ88" s="546"/>
      <c r="DK88" s="546"/>
      <c r="DL88" s="546"/>
      <c r="DM88" s="546"/>
      <c r="DN88" s="546"/>
      <c r="DO88" s="546"/>
      <c r="DP88" s="546"/>
      <c r="DQ88" s="546"/>
      <c r="DR88" s="546"/>
      <c r="DS88" s="546"/>
      <c r="DT88" s="546"/>
      <c r="DU88" s="546"/>
      <c r="DV88" s="546"/>
      <c r="DW88" s="546"/>
      <c r="DX88" s="546"/>
      <c r="DY88" s="546"/>
      <c r="DZ88" s="546"/>
      <c r="EA88" s="546"/>
      <c r="EB88" s="546"/>
      <c r="EC88" s="546"/>
    </row>
    <row r="89" spans="71:133" s="651" customFormat="1">
      <c r="BS89" s="546"/>
      <c r="BT89" s="546"/>
      <c r="BU89" s="546"/>
      <c r="BV89" s="546"/>
      <c r="BW89" s="546"/>
      <c r="BX89" s="546"/>
      <c r="BY89" s="546"/>
      <c r="BZ89" s="546"/>
      <c r="CA89" s="546"/>
      <c r="CB89" s="546"/>
      <c r="CC89" s="546"/>
      <c r="CD89" s="546"/>
      <c r="CE89" s="546"/>
      <c r="CF89" s="546"/>
      <c r="CG89" s="546"/>
      <c r="CH89" s="546"/>
      <c r="CI89" s="546"/>
      <c r="CJ89" s="546"/>
      <c r="CK89" s="546"/>
      <c r="CL89" s="546"/>
      <c r="CM89" s="546"/>
      <c r="CN89" s="546"/>
      <c r="CO89" s="546"/>
      <c r="CP89" s="546"/>
      <c r="CQ89" s="546"/>
      <c r="CR89" s="546"/>
      <c r="CS89" s="546"/>
      <c r="CT89" s="546"/>
      <c r="CU89" s="546"/>
      <c r="CV89" s="546"/>
      <c r="CW89" s="546"/>
      <c r="CX89" s="546"/>
      <c r="CY89" s="546"/>
      <c r="CZ89" s="546"/>
      <c r="DA89" s="546"/>
      <c r="DB89" s="546"/>
      <c r="DC89" s="546"/>
      <c r="DD89" s="546"/>
      <c r="DE89" s="546"/>
      <c r="DF89" s="546"/>
      <c r="DG89" s="546"/>
      <c r="DH89" s="546"/>
      <c r="DI89" s="546"/>
      <c r="DJ89" s="546"/>
      <c r="DK89" s="546"/>
      <c r="DL89" s="546"/>
      <c r="DM89" s="546"/>
      <c r="DN89" s="546"/>
      <c r="DO89" s="546"/>
      <c r="DP89" s="546"/>
      <c r="DQ89" s="546"/>
      <c r="DR89" s="546"/>
      <c r="DS89" s="546"/>
      <c r="DT89" s="546"/>
      <c r="DU89" s="546"/>
      <c r="DV89" s="546"/>
      <c r="DW89" s="546"/>
      <c r="DX89" s="546"/>
      <c r="DY89" s="546"/>
      <c r="DZ89" s="546"/>
      <c r="EA89" s="546"/>
      <c r="EB89" s="546"/>
      <c r="EC89" s="546"/>
    </row>
    <row r="90" spans="71:133" s="651" customFormat="1">
      <c r="BS90" s="546"/>
      <c r="BT90" s="546"/>
      <c r="BU90" s="546"/>
      <c r="BV90" s="546"/>
      <c r="BW90" s="546"/>
      <c r="BX90" s="546"/>
      <c r="BY90" s="546"/>
      <c r="BZ90" s="546"/>
      <c r="CA90" s="546"/>
      <c r="CB90" s="546"/>
      <c r="CC90" s="546"/>
      <c r="CD90" s="546"/>
      <c r="CE90" s="546"/>
      <c r="CF90" s="546"/>
      <c r="CG90" s="546"/>
      <c r="CH90" s="546"/>
      <c r="CI90" s="546"/>
      <c r="CJ90" s="546"/>
      <c r="CK90" s="546"/>
      <c r="CL90" s="546"/>
      <c r="CM90" s="546"/>
      <c r="CN90" s="546"/>
      <c r="CO90" s="546"/>
      <c r="CP90" s="546"/>
      <c r="CQ90" s="546"/>
      <c r="CR90" s="546"/>
      <c r="CS90" s="546"/>
      <c r="CT90" s="546"/>
      <c r="CU90" s="546"/>
      <c r="CV90" s="546"/>
      <c r="CW90" s="546"/>
      <c r="CX90" s="546"/>
      <c r="CY90" s="546"/>
      <c r="CZ90" s="546"/>
      <c r="DA90" s="546"/>
      <c r="DB90" s="546"/>
      <c r="DC90" s="546"/>
      <c r="DD90" s="546"/>
      <c r="DE90" s="546"/>
      <c r="DF90" s="546"/>
      <c r="DG90" s="546"/>
      <c r="DH90" s="546"/>
      <c r="DI90" s="546"/>
      <c r="DJ90" s="546"/>
      <c r="DK90" s="546"/>
      <c r="DL90" s="546"/>
      <c r="DM90" s="546"/>
      <c r="DN90" s="546"/>
      <c r="DO90" s="546"/>
      <c r="DP90" s="546"/>
      <c r="DQ90" s="546"/>
      <c r="DR90" s="546"/>
      <c r="DS90" s="546"/>
      <c r="DT90" s="546"/>
      <c r="DU90" s="546"/>
      <c r="DV90" s="546"/>
      <c r="DW90" s="546"/>
      <c r="DX90" s="546"/>
      <c r="DY90" s="546"/>
      <c r="DZ90" s="546"/>
      <c r="EA90" s="546"/>
      <c r="EB90" s="546"/>
      <c r="EC90" s="546"/>
    </row>
    <row r="91" spans="71:133" s="651" customFormat="1">
      <c r="BS91" s="546"/>
      <c r="BT91" s="546"/>
      <c r="BU91" s="546"/>
      <c r="BV91" s="546"/>
      <c r="BW91" s="546"/>
      <c r="BX91" s="546"/>
      <c r="BY91" s="546"/>
      <c r="BZ91" s="546"/>
      <c r="CA91" s="546"/>
      <c r="CB91" s="546"/>
      <c r="CC91" s="546"/>
      <c r="CD91" s="546"/>
      <c r="CE91" s="546"/>
      <c r="CF91" s="546"/>
      <c r="CG91" s="546"/>
      <c r="CH91" s="546"/>
      <c r="CI91" s="546"/>
      <c r="CJ91" s="546"/>
      <c r="CK91" s="546"/>
      <c r="CL91" s="546"/>
      <c r="CM91" s="546"/>
      <c r="CN91" s="546"/>
      <c r="CO91" s="546"/>
      <c r="CP91" s="546"/>
      <c r="CQ91" s="546"/>
      <c r="CR91" s="546"/>
      <c r="CS91" s="546"/>
      <c r="CT91" s="546"/>
      <c r="CU91" s="546"/>
      <c r="CV91" s="546"/>
      <c r="CW91" s="546"/>
      <c r="CX91" s="546"/>
      <c r="CY91" s="546"/>
      <c r="CZ91" s="546"/>
      <c r="DA91" s="546"/>
      <c r="DB91" s="546"/>
      <c r="DC91" s="546"/>
      <c r="DD91" s="546"/>
      <c r="DE91" s="546"/>
      <c r="DF91" s="546"/>
      <c r="DG91" s="546"/>
      <c r="DH91" s="546"/>
      <c r="DI91" s="546"/>
      <c r="DJ91" s="546"/>
      <c r="DK91" s="546"/>
      <c r="DL91" s="546"/>
      <c r="DM91" s="546"/>
      <c r="DN91" s="546"/>
      <c r="DO91" s="546"/>
      <c r="DP91" s="546"/>
      <c r="DQ91" s="546"/>
      <c r="DR91" s="546"/>
      <c r="DS91" s="546"/>
      <c r="DT91" s="546"/>
      <c r="DU91" s="546"/>
      <c r="DV91" s="546"/>
      <c r="DW91" s="546"/>
      <c r="DX91" s="546"/>
      <c r="DY91" s="546"/>
      <c r="DZ91" s="546"/>
      <c r="EA91" s="546"/>
      <c r="EB91" s="546"/>
      <c r="EC91" s="546"/>
    </row>
    <row r="92" spans="71:133" s="651" customFormat="1">
      <c r="BS92" s="546"/>
      <c r="BT92" s="546"/>
      <c r="BU92" s="546"/>
      <c r="BV92" s="546"/>
      <c r="BW92" s="546"/>
      <c r="BX92" s="546"/>
      <c r="BY92" s="546"/>
      <c r="BZ92" s="546"/>
      <c r="CA92" s="546"/>
      <c r="CB92" s="546"/>
      <c r="CC92" s="546"/>
      <c r="CD92" s="546"/>
      <c r="CE92" s="546"/>
      <c r="CF92" s="546"/>
      <c r="CG92" s="546"/>
      <c r="CH92" s="546"/>
      <c r="CI92" s="546"/>
      <c r="CJ92" s="546"/>
      <c r="CK92" s="546"/>
      <c r="CL92" s="546"/>
      <c r="CM92" s="546"/>
      <c r="CN92" s="546"/>
      <c r="CO92" s="546"/>
      <c r="CP92" s="546"/>
      <c r="CQ92" s="546"/>
      <c r="CR92" s="546"/>
      <c r="CS92" s="546"/>
      <c r="CT92" s="546"/>
      <c r="CU92" s="546"/>
      <c r="CV92" s="546"/>
      <c r="CW92" s="546"/>
      <c r="CX92" s="546"/>
      <c r="CY92" s="546"/>
      <c r="CZ92" s="546"/>
      <c r="DA92" s="546"/>
      <c r="DB92" s="546"/>
      <c r="DC92" s="546"/>
      <c r="DD92" s="546"/>
      <c r="DE92" s="546"/>
      <c r="DF92" s="546"/>
      <c r="DG92" s="546"/>
      <c r="DH92" s="546"/>
      <c r="DI92" s="546"/>
      <c r="DJ92" s="546"/>
      <c r="DK92" s="546"/>
      <c r="DL92" s="546"/>
      <c r="DM92" s="546"/>
      <c r="DN92" s="546"/>
      <c r="DO92" s="546"/>
      <c r="DP92" s="546"/>
      <c r="DQ92" s="546"/>
      <c r="DR92" s="546"/>
      <c r="DS92" s="546"/>
      <c r="DT92" s="546"/>
      <c r="DU92" s="546"/>
      <c r="DV92" s="546"/>
      <c r="DW92" s="546"/>
      <c r="DX92" s="546"/>
      <c r="DY92" s="546"/>
      <c r="DZ92" s="546"/>
      <c r="EA92" s="546"/>
      <c r="EB92" s="546"/>
      <c r="EC92" s="546"/>
    </row>
    <row r="93" spans="71:133" s="651" customFormat="1">
      <c r="BS93" s="546"/>
      <c r="BT93" s="546"/>
      <c r="BU93" s="546"/>
      <c r="BV93" s="546"/>
      <c r="BW93" s="546"/>
      <c r="BX93" s="546"/>
      <c r="BY93" s="546"/>
      <c r="BZ93" s="546"/>
      <c r="CA93" s="546"/>
      <c r="CB93" s="546"/>
      <c r="CC93" s="546"/>
      <c r="CD93" s="546"/>
      <c r="CE93" s="546"/>
      <c r="CF93" s="546"/>
      <c r="CG93" s="546"/>
      <c r="CH93" s="546"/>
      <c r="CI93" s="546"/>
      <c r="CJ93" s="546"/>
      <c r="CK93" s="546"/>
      <c r="CL93" s="546"/>
      <c r="CM93" s="546"/>
      <c r="CN93" s="546"/>
      <c r="CO93" s="546"/>
      <c r="CP93" s="546"/>
      <c r="CQ93" s="546"/>
      <c r="CR93" s="546"/>
      <c r="CS93" s="546"/>
      <c r="CT93" s="546"/>
      <c r="CU93" s="546"/>
      <c r="CV93" s="546"/>
      <c r="CW93" s="546"/>
      <c r="CX93" s="546"/>
      <c r="CY93" s="546"/>
      <c r="CZ93" s="546"/>
      <c r="DA93" s="546"/>
      <c r="DB93" s="546"/>
      <c r="DC93" s="546"/>
      <c r="DD93" s="546"/>
      <c r="DE93" s="546"/>
      <c r="DF93" s="546"/>
      <c r="DG93" s="546"/>
      <c r="DH93" s="546"/>
      <c r="DI93" s="546"/>
      <c r="DJ93" s="546"/>
      <c r="DK93" s="546"/>
      <c r="DL93" s="546"/>
      <c r="DM93" s="546"/>
      <c r="DN93" s="546"/>
      <c r="DO93" s="546"/>
      <c r="DP93" s="546"/>
      <c r="DQ93" s="546"/>
      <c r="DR93" s="546"/>
      <c r="DS93" s="546"/>
      <c r="DT93" s="546"/>
      <c r="DU93" s="546"/>
      <c r="DV93" s="546"/>
      <c r="DW93" s="546"/>
      <c r="DX93" s="546"/>
      <c r="DY93" s="546"/>
      <c r="DZ93" s="546"/>
      <c r="EA93" s="546"/>
      <c r="EB93" s="546"/>
      <c r="EC93" s="546"/>
    </row>
    <row r="94" spans="71:133" s="651" customFormat="1">
      <c r="BS94" s="546"/>
      <c r="BT94" s="546"/>
      <c r="BU94" s="546"/>
      <c r="BV94" s="546"/>
      <c r="BW94" s="546"/>
      <c r="BX94" s="546"/>
      <c r="BY94" s="546"/>
      <c r="BZ94" s="546"/>
      <c r="CA94" s="546"/>
      <c r="CB94" s="546"/>
      <c r="CC94" s="546"/>
      <c r="CD94" s="546"/>
      <c r="CE94" s="546"/>
      <c r="CF94" s="546"/>
      <c r="CG94" s="546"/>
      <c r="CH94" s="546"/>
      <c r="CI94" s="546"/>
      <c r="CJ94" s="546"/>
      <c r="CK94" s="546"/>
      <c r="CL94" s="546"/>
      <c r="CM94" s="546"/>
      <c r="CN94" s="546"/>
      <c r="CO94" s="546"/>
      <c r="CP94" s="546"/>
      <c r="CQ94" s="546"/>
      <c r="CR94" s="546"/>
      <c r="CS94" s="546"/>
      <c r="CT94" s="546"/>
      <c r="CU94" s="546"/>
      <c r="CV94" s="546"/>
      <c r="CW94" s="546"/>
      <c r="CX94" s="546"/>
      <c r="CY94" s="546"/>
      <c r="CZ94" s="546"/>
      <c r="DA94" s="546"/>
      <c r="DB94" s="546"/>
      <c r="DC94" s="546"/>
      <c r="DD94" s="546"/>
      <c r="DE94" s="546"/>
      <c r="DF94" s="546"/>
      <c r="DG94" s="546"/>
      <c r="DH94" s="546"/>
      <c r="DI94" s="546"/>
      <c r="DJ94" s="546"/>
      <c r="DK94" s="546"/>
      <c r="DL94" s="546"/>
      <c r="DM94" s="546"/>
      <c r="DN94" s="546"/>
      <c r="DO94" s="546"/>
      <c r="DP94" s="546"/>
      <c r="DQ94" s="546"/>
      <c r="DR94" s="546"/>
      <c r="DS94" s="546"/>
      <c r="DT94" s="546"/>
      <c r="DU94" s="546"/>
      <c r="DV94" s="546"/>
      <c r="DW94" s="546"/>
      <c r="DX94" s="546"/>
      <c r="DY94" s="546"/>
      <c r="DZ94" s="546"/>
      <c r="EA94" s="546"/>
      <c r="EB94" s="546"/>
      <c r="EC94" s="546"/>
    </row>
    <row r="95" spans="71:133" s="651" customFormat="1">
      <c r="BS95" s="546"/>
      <c r="BT95" s="546"/>
      <c r="BU95" s="546"/>
      <c r="BV95" s="546"/>
      <c r="BW95" s="546"/>
      <c r="BX95" s="546"/>
      <c r="BY95" s="546"/>
      <c r="BZ95" s="546"/>
      <c r="CA95" s="546"/>
      <c r="CB95" s="546"/>
      <c r="CC95" s="546"/>
      <c r="CD95" s="546"/>
      <c r="CE95" s="546"/>
      <c r="CF95" s="546"/>
      <c r="CG95" s="546"/>
      <c r="CH95" s="546"/>
      <c r="CI95" s="546"/>
      <c r="CJ95" s="546"/>
      <c r="CK95" s="546"/>
      <c r="CL95" s="546"/>
      <c r="CM95" s="546"/>
      <c r="CN95" s="546"/>
      <c r="CO95" s="546"/>
      <c r="CP95" s="546"/>
      <c r="CQ95" s="546"/>
      <c r="CR95" s="546"/>
      <c r="CS95" s="546"/>
      <c r="CT95" s="546"/>
      <c r="CU95" s="546"/>
      <c r="CV95" s="546"/>
      <c r="CW95" s="546"/>
      <c r="CX95" s="546"/>
      <c r="CY95" s="546"/>
      <c r="CZ95" s="546"/>
      <c r="DA95" s="546"/>
      <c r="DB95" s="546"/>
      <c r="DC95" s="546"/>
      <c r="DD95" s="546"/>
      <c r="DE95" s="546"/>
      <c r="DF95" s="546"/>
      <c r="DG95" s="546"/>
      <c r="DH95" s="546"/>
      <c r="DI95" s="546"/>
      <c r="DJ95" s="546"/>
      <c r="DK95" s="546"/>
      <c r="DL95" s="546"/>
      <c r="DM95" s="546"/>
      <c r="DN95" s="546"/>
      <c r="DO95" s="546"/>
      <c r="DP95" s="546"/>
      <c r="DQ95" s="546"/>
      <c r="DR95" s="546"/>
      <c r="DS95" s="546"/>
      <c r="DT95" s="546"/>
      <c r="DU95" s="546"/>
      <c r="DV95" s="546"/>
      <c r="DW95" s="546"/>
      <c r="DX95" s="546"/>
      <c r="DY95" s="546"/>
      <c r="DZ95" s="546"/>
      <c r="EA95" s="546"/>
      <c r="EB95" s="546"/>
      <c r="EC95" s="546"/>
    </row>
    <row r="96" spans="71:133" s="651" customFormat="1">
      <c r="BS96" s="546"/>
      <c r="BT96" s="546"/>
      <c r="BU96" s="546"/>
      <c r="BV96" s="546"/>
      <c r="BW96" s="546"/>
      <c r="BX96" s="546"/>
      <c r="BY96" s="546"/>
      <c r="BZ96" s="546"/>
      <c r="CA96" s="546"/>
      <c r="CB96" s="546"/>
      <c r="CC96" s="546"/>
      <c r="CD96" s="546"/>
      <c r="CE96" s="546"/>
      <c r="CF96" s="546"/>
      <c r="CG96" s="546"/>
      <c r="CH96" s="546"/>
      <c r="CI96" s="546"/>
      <c r="CJ96" s="546"/>
      <c r="CK96" s="546"/>
      <c r="CL96" s="546"/>
      <c r="CM96" s="546"/>
      <c r="CN96" s="546"/>
      <c r="CO96" s="546"/>
      <c r="CP96" s="546"/>
      <c r="CQ96" s="546"/>
      <c r="CR96" s="546"/>
      <c r="CS96" s="546"/>
      <c r="CT96" s="546"/>
      <c r="CU96" s="546"/>
      <c r="CV96" s="546"/>
      <c r="CW96" s="546"/>
      <c r="CX96" s="546"/>
      <c r="CY96" s="546"/>
      <c r="CZ96" s="546"/>
      <c r="DA96" s="546"/>
      <c r="DB96" s="546"/>
      <c r="DC96" s="546"/>
      <c r="DD96" s="546"/>
      <c r="DE96" s="546"/>
      <c r="DF96" s="546"/>
      <c r="DG96" s="546"/>
      <c r="DH96" s="546"/>
      <c r="DI96" s="546"/>
      <c r="DJ96" s="546"/>
      <c r="DK96" s="546"/>
      <c r="DL96" s="546"/>
      <c r="DM96" s="546"/>
      <c r="DN96" s="546"/>
      <c r="DO96" s="546"/>
      <c r="DP96" s="546"/>
      <c r="DQ96" s="546"/>
      <c r="DR96" s="546"/>
      <c r="DS96" s="546"/>
      <c r="DT96" s="546"/>
      <c r="DU96" s="546"/>
      <c r="DV96" s="546"/>
      <c r="DW96" s="546"/>
      <c r="DX96" s="546"/>
      <c r="DY96" s="546"/>
      <c r="DZ96" s="546"/>
      <c r="EA96" s="546"/>
      <c r="EB96" s="546"/>
      <c r="EC96" s="546"/>
    </row>
    <row r="97" spans="71:133" s="651" customFormat="1">
      <c r="BS97" s="546"/>
      <c r="BT97" s="546"/>
      <c r="BU97" s="546"/>
      <c r="BV97" s="546"/>
      <c r="BW97" s="546"/>
      <c r="BX97" s="546"/>
      <c r="BY97" s="546"/>
      <c r="BZ97" s="546"/>
      <c r="CA97" s="546"/>
      <c r="CB97" s="546"/>
      <c r="CC97" s="546"/>
      <c r="CD97" s="546"/>
      <c r="CE97" s="546"/>
      <c r="CF97" s="546"/>
      <c r="CG97" s="546"/>
      <c r="CH97" s="546"/>
      <c r="CI97" s="546"/>
      <c r="CJ97" s="546"/>
      <c r="CK97" s="546"/>
      <c r="CL97" s="546"/>
      <c r="CM97" s="546"/>
      <c r="CN97" s="546"/>
      <c r="CO97" s="546"/>
      <c r="CP97" s="546"/>
      <c r="CQ97" s="546"/>
      <c r="CR97" s="546"/>
      <c r="CS97" s="546"/>
      <c r="CT97" s="546"/>
      <c r="CU97" s="546"/>
      <c r="CV97" s="546"/>
      <c r="CW97" s="546"/>
      <c r="CX97" s="546"/>
      <c r="CY97" s="546"/>
      <c r="CZ97" s="546"/>
      <c r="DA97" s="546"/>
      <c r="DB97" s="546"/>
      <c r="DC97" s="546"/>
      <c r="DD97" s="546"/>
      <c r="DE97" s="546"/>
      <c r="DF97" s="546"/>
      <c r="DG97" s="546"/>
      <c r="DH97" s="546"/>
      <c r="DI97" s="546"/>
      <c r="DJ97" s="546"/>
      <c r="DK97" s="546"/>
      <c r="DL97" s="546"/>
      <c r="DM97" s="546"/>
      <c r="DN97" s="546"/>
      <c r="DO97" s="546"/>
      <c r="DP97" s="546"/>
      <c r="DQ97" s="546"/>
      <c r="DR97" s="546"/>
      <c r="DS97" s="546"/>
      <c r="DT97" s="546"/>
      <c r="DU97" s="546"/>
      <c r="DV97" s="546"/>
      <c r="DW97" s="546"/>
      <c r="DX97" s="546"/>
      <c r="DY97" s="546"/>
      <c r="DZ97" s="546"/>
      <c r="EA97" s="546"/>
      <c r="EB97" s="546"/>
      <c r="EC97" s="546"/>
    </row>
    <row r="98" spans="71:133" s="651" customFormat="1">
      <c r="BS98" s="546"/>
      <c r="BT98" s="546"/>
      <c r="BU98" s="546"/>
      <c r="BV98" s="546"/>
      <c r="BW98" s="546"/>
      <c r="BX98" s="546"/>
      <c r="BY98" s="546"/>
      <c r="BZ98" s="546"/>
      <c r="CA98" s="546"/>
      <c r="CB98" s="546"/>
      <c r="CC98" s="546"/>
      <c r="CD98" s="546"/>
      <c r="CE98" s="546"/>
      <c r="CF98" s="546"/>
      <c r="CG98" s="546"/>
      <c r="CH98" s="546"/>
      <c r="CI98" s="546"/>
      <c r="CJ98" s="546"/>
      <c r="CK98" s="546"/>
      <c r="CL98" s="546"/>
      <c r="CM98" s="546"/>
      <c r="CN98" s="546"/>
      <c r="CO98" s="546"/>
      <c r="CP98" s="546"/>
      <c r="CQ98" s="546"/>
      <c r="CR98" s="546"/>
      <c r="CS98" s="546"/>
      <c r="CT98" s="546"/>
      <c r="CU98" s="546"/>
      <c r="CV98" s="546"/>
      <c r="CW98" s="546"/>
      <c r="CX98" s="546"/>
      <c r="CY98" s="546"/>
      <c r="CZ98" s="546"/>
      <c r="DA98" s="546"/>
      <c r="DB98" s="546"/>
      <c r="DC98" s="546"/>
      <c r="DD98" s="546"/>
      <c r="DE98" s="546"/>
      <c r="DF98" s="546"/>
      <c r="DG98" s="546"/>
      <c r="DH98" s="546"/>
      <c r="DI98" s="546"/>
      <c r="DJ98" s="546"/>
      <c r="DK98" s="546"/>
      <c r="DL98" s="546"/>
      <c r="DM98" s="546"/>
      <c r="DN98" s="546"/>
      <c r="DO98" s="546"/>
      <c r="DP98" s="546"/>
      <c r="DQ98" s="546"/>
      <c r="DR98" s="546"/>
      <c r="DS98" s="546"/>
      <c r="DT98" s="546"/>
      <c r="DU98" s="546"/>
      <c r="DV98" s="546"/>
      <c r="DW98" s="546"/>
      <c r="DX98" s="546"/>
      <c r="DY98" s="546"/>
      <c r="DZ98" s="546"/>
      <c r="EA98" s="546"/>
      <c r="EB98" s="546"/>
      <c r="EC98" s="546"/>
    </row>
    <row r="99" spans="71:133" s="651" customFormat="1">
      <c r="BS99" s="546"/>
      <c r="BT99" s="546"/>
      <c r="BU99" s="546"/>
      <c r="BV99" s="546"/>
      <c r="BW99" s="546"/>
      <c r="BX99" s="546"/>
      <c r="BY99" s="546"/>
      <c r="BZ99" s="546"/>
      <c r="CA99" s="546"/>
      <c r="CB99" s="546"/>
      <c r="CC99" s="546"/>
      <c r="CD99" s="546"/>
      <c r="CE99" s="546"/>
      <c r="CF99" s="546"/>
      <c r="CG99" s="546"/>
      <c r="CH99" s="546"/>
      <c r="CI99" s="546"/>
      <c r="CJ99" s="546"/>
      <c r="CK99" s="546"/>
      <c r="CL99" s="546"/>
      <c r="CM99" s="546"/>
      <c r="CN99" s="546"/>
      <c r="CO99" s="546"/>
      <c r="CP99" s="546"/>
      <c r="CQ99" s="546"/>
      <c r="CR99" s="546"/>
      <c r="CS99" s="546"/>
      <c r="CT99" s="546"/>
      <c r="CU99" s="546"/>
      <c r="CV99" s="546"/>
      <c r="CW99" s="546"/>
      <c r="CX99" s="546"/>
      <c r="CY99" s="546"/>
      <c r="CZ99" s="546"/>
      <c r="DA99" s="546"/>
      <c r="DB99" s="546"/>
      <c r="DC99" s="546"/>
      <c r="DD99" s="546"/>
      <c r="DE99" s="546"/>
      <c r="DF99" s="546"/>
      <c r="DG99" s="546"/>
      <c r="DH99" s="546"/>
      <c r="DI99" s="546"/>
      <c r="DJ99" s="546"/>
      <c r="DK99" s="546"/>
      <c r="DL99" s="546"/>
      <c r="DM99" s="546"/>
      <c r="DN99" s="546"/>
      <c r="DO99" s="546"/>
      <c r="DP99" s="546"/>
      <c r="DQ99" s="546"/>
      <c r="DR99" s="546"/>
      <c r="DS99" s="546"/>
      <c r="DT99" s="546"/>
      <c r="DU99" s="546"/>
      <c r="DV99" s="546"/>
      <c r="DW99" s="546"/>
      <c r="DX99" s="546"/>
      <c r="DY99" s="546"/>
      <c r="DZ99" s="546"/>
      <c r="EA99" s="546"/>
      <c r="EB99" s="546"/>
      <c r="EC99" s="546"/>
    </row>
    <row r="100" spans="71:133" s="651" customFormat="1">
      <c r="BS100" s="546"/>
      <c r="BT100" s="546"/>
      <c r="BU100" s="546"/>
      <c r="BV100" s="546"/>
      <c r="BW100" s="546"/>
      <c r="BX100" s="546"/>
      <c r="BY100" s="546"/>
      <c r="BZ100" s="546"/>
      <c r="CA100" s="546"/>
      <c r="CB100" s="546"/>
      <c r="CC100" s="546"/>
      <c r="CD100" s="546"/>
      <c r="CE100" s="546"/>
      <c r="CF100" s="546"/>
      <c r="CG100" s="546"/>
      <c r="CH100" s="546"/>
      <c r="CI100" s="546"/>
      <c r="CJ100" s="546"/>
      <c r="CK100" s="546"/>
      <c r="CL100" s="546"/>
      <c r="CM100" s="546"/>
      <c r="CN100" s="546"/>
      <c r="CO100" s="546"/>
      <c r="CP100" s="546"/>
      <c r="CQ100" s="546"/>
      <c r="CR100" s="546"/>
      <c r="CS100" s="546"/>
      <c r="CT100" s="546"/>
      <c r="CU100" s="546"/>
      <c r="CV100" s="546"/>
      <c r="CW100" s="546"/>
      <c r="CX100" s="546"/>
      <c r="CY100" s="546"/>
      <c r="CZ100" s="546"/>
      <c r="DA100" s="546"/>
      <c r="DB100" s="546"/>
      <c r="DC100" s="546"/>
      <c r="DD100" s="546"/>
      <c r="DE100" s="546"/>
      <c r="DF100" s="546"/>
      <c r="DG100" s="546"/>
      <c r="DH100" s="546"/>
      <c r="DI100" s="546"/>
      <c r="DJ100" s="546"/>
      <c r="DK100" s="546"/>
      <c r="DL100" s="546"/>
      <c r="DM100" s="546"/>
      <c r="DN100" s="546"/>
      <c r="DO100" s="546"/>
      <c r="DP100" s="546"/>
      <c r="DQ100" s="546"/>
      <c r="DR100" s="546"/>
      <c r="DS100" s="546"/>
      <c r="DT100" s="546"/>
      <c r="DU100" s="546"/>
      <c r="DV100" s="546"/>
      <c r="DW100" s="546"/>
      <c r="DX100" s="546"/>
      <c r="DY100" s="546"/>
      <c r="DZ100" s="546"/>
      <c r="EA100" s="546"/>
      <c r="EB100" s="546"/>
      <c r="EC100" s="546"/>
    </row>
    <row r="101" spans="71:133" s="651" customFormat="1">
      <c r="BS101" s="546"/>
      <c r="BT101" s="546"/>
      <c r="BU101" s="546"/>
      <c r="BV101" s="546"/>
      <c r="BW101" s="546"/>
      <c r="BX101" s="546"/>
      <c r="BY101" s="546"/>
      <c r="BZ101" s="546"/>
      <c r="CA101" s="546"/>
      <c r="CB101" s="546"/>
      <c r="CC101" s="546"/>
      <c r="CD101" s="546"/>
      <c r="CE101" s="546"/>
      <c r="CF101" s="546"/>
      <c r="CG101" s="546"/>
      <c r="CH101" s="546"/>
      <c r="CI101" s="546"/>
      <c r="CJ101" s="546"/>
      <c r="CK101" s="546"/>
      <c r="CL101" s="546"/>
      <c r="CM101" s="546"/>
      <c r="CN101" s="546"/>
      <c r="CO101" s="546"/>
      <c r="CP101" s="546"/>
      <c r="CQ101" s="546"/>
      <c r="CR101" s="546"/>
      <c r="CS101" s="546"/>
      <c r="CT101" s="546"/>
      <c r="CU101" s="546"/>
      <c r="CV101" s="546"/>
      <c r="CW101" s="546"/>
      <c r="CX101" s="546"/>
      <c r="CY101" s="546"/>
      <c r="CZ101" s="546"/>
      <c r="DA101" s="546"/>
      <c r="DB101" s="546"/>
      <c r="DC101" s="546"/>
      <c r="DD101" s="546"/>
      <c r="DE101" s="546"/>
      <c r="DF101" s="546"/>
      <c r="DG101" s="546"/>
      <c r="DH101" s="546"/>
      <c r="DI101" s="546"/>
      <c r="DJ101" s="546"/>
      <c r="DK101" s="546"/>
      <c r="DL101" s="546"/>
      <c r="DM101" s="546"/>
      <c r="DN101" s="546"/>
      <c r="DO101" s="546"/>
      <c r="DP101" s="546"/>
      <c r="DQ101" s="546"/>
      <c r="DR101" s="546"/>
      <c r="DS101" s="546"/>
      <c r="DT101" s="546"/>
      <c r="DU101" s="546"/>
      <c r="DV101" s="546"/>
      <c r="DW101" s="546"/>
      <c r="DX101" s="546"/>
      <c r="DY101" s="546"/>
      <c r="DZ101" s="546"/>
      <c r="EA101" s="546"/>
      <c r="EB101" s="546"/>
      <c r="EC101" s="546"/>
    </row>
    <row r="102" spans="71:133" s="651" customFormat="1">
      <c r="BS102" s="546"/>
      <c r="BT102" s="546"/>
      <c r="BU102" s="546"/>
      <c r="BV102" s="546"/>
      <c r="BW102" s="546"/>
      <c r="BX102" s="546"/>
      <c r="BY102" s="546"/>
      <c r="BZ102" s="546"/>
      <c r="CA102" s="546"/>
      <c r="CB102" s="546"/>
      <c r="CC102" s="546"/>
      <c r="CD102" s="546"/>
      <c r="CE102" s="546"/>
      <c r="CF102" s="546"/>
      <c r="CG102" s="546"/>
      <c r="CH102" s="546"/>
      <c r="CI102" s="546"/>
      <c r="CJ102" s="546"/>
      <c r="CK102" s="546"/>
      <c r="CL102" s="546"/>
      <c r="CM102" s="546"/>
      <c r="CN102" s="546"/>
      <c r="CO102" s="546"/>
      <c r="CP102" s="546"/>
      <c r="CQ102" s="546"/>
      <c r="CR102" s="546"/>
      <c r="CS102" s="546"/>
      <c r="CT102" s="546"/>
      <c r="CU102" s="546"/>
      <c r="CV102" s="546"/>
      <c r="CW102" s="546"/>
      <c r="CX102" s="546"/>
      <c r="CY102" s="546"/>
      <c r="CZ102" s="546"/>
      <c r="DA102" s="546"/>
      <c r="DB102" s="546"/>
      <c r="DC102" s="546"/>
      <c r="DD102" s="546"/>
      <c r="DE102" s="546"/>
      <c r="DF102" s="546"/>
      <c r="DG102" s="546"/>
      <c r="DH102" s="546"/>
      <c r="DI102" s="546"/>
      <c r="DJ102" s="546"/>
      <c r="DK102" s="546"/>
      <c r="DL102" s="546"/>
      <c r="DM102" s="546"/>
      <c r="DN102" s="546"/>
      <c r="DO102" s="546"/>
      <c r="DP102" s="546"/>
      <c r="DQ102" s="546"/>
      <c r="DR102" s="546"/>
      <c r="DS102" s="546"/>
      <c r="DT102" s="546"/>
      <c r="DU102" s="546"/>
      <c r="DV102" s="546"/>
      <c r="DW102" s="546"/>
      <c r="DX102" s="546"/>
      <c r="DY102" s="546"/>
      <c r="DZ102" s="546"/>
      <c r="EA102" s="546"/>
      <c r="EB102" s="546"/>
      <c r="EC102" s="546"/>
    </row>
    <row r="103" spans="71:133" s="651" customFormat="1">
      <c r="BS103" s="546"/>
      <c r="BT103" s="546"/>
      <c r="BU103" s="546"/>
      <c r="BV103" s="546"/>
      <c r="BW103" s="546"/>
      <c r="BX103" s="546"/>
      <c r="BY103" s="546"/>
      <c r="BZ103" s="546"/>
      <c r="CA103" s="546"/>
      <c r="CB103" s="546"/>
      <c r="CC103" s="546"/>
      <c r="CD103" s="546"/>
      <c r="CE103" s="546"/>
      <c r="CF103" s="546"/>
      <c r="CG103" s="546"/>
      <c r="CH103" s="546"/>
      <c r="CI103" s="546"/>
      <c r="CJ103" s="546"/>
      <c r="CK103" s="546"/>
      <c r="CL103" s="546"/>
      <c r="CM103" s="546"/>
      <c r="CN103" s="546"/>
      <c r="CO103" s="546"/>
      <c r="CP103" s="546"/>
      <c r="CQ103" s="546"/>
      <c r="CR103" s="546"/>
      <c r="CS103" s="546"/>
      <c r="CT103" s="546"/>
      <c r="CU103" s="546"/>
      <c r="CV103" s="546"/>
      <c r="CW103" s="546"/>
      <c r="CX103" s="546"/>
      <c r="CY103" s="546"/>
      <c r="CZ103" s="546"/>
      <c r="DA103" s="546"/>
      <c r="DB103" s="546"/>
      <c r="DC103" s="546"/>
      <c r="DD103" s="546"/>
      <c r="DE103" s="546"/>
      <c r="DF103" s="546"/>
      <c r="DG103" s="546"/>
      <c r="DH103" s="546"/>
      <c r="DI103" s="546"/>
      <c r="DJ103" s="546"/>
      <c r="DK103" s="546"/>
      <c r="DL103" s="546"/>
      <c r="DM103" s="546"/>
      <c r="DN103" s="546"/>
      <c r="DO103" s="546"/>
      <c r="DP103" s="546"/>
      <c r="DQ103" s="546"/>
      <c r="DR103" s="546"/>
      <c r="DS103" s="546"/>
      <c r="DT103" s="546"/>
      <c r="DU103" s="546"/>
      <c r="DV103" s="546"/>
      <c r="DW103" s="546"/>
      <c r="DX103" s="546"/>
      <c r="DY103" s="546"/>
      <c r="DZ103" s="546"/>
      <c r="EA103" s="546"/>
      <c r="EB103" s="546"/>
      <c r="EC103" s="546"/>
    </row>
    <row r="104" spans="71:133" s="651" customFormat="1">
      <c r="BS104" s="546"/>
      <c r="BT104" s="546"/>
      <c r="BU104" s="546"/>
      <c r="BV104" s="546"/>
      <c r="BW104" s="546"/>
      <c r="BX104" s="546"/>
      <c r="BY104" s="546"/>
      <c r="BZ104" s="546"/>
      <c r="CA104" s="546"/>
      <c r="CB104" s="546"/>
      <c r="CC104" s="546"/>
      <c r="CD104" s="546"/>
      <c r="CE104" s="546"/>
      <c r="CF104" s="546"/>
      <c r="CG104" s="546"/>
      <c r="CH104" s="546"/>
      <c r="CI104" s="546"/>
      <c r="CJ104" s="546"/>
      <c r="CK104" s="546"/>
      <c r="CL104" s="546"/>
      <c r="CM104" s="546"/>
      <c r="CN104" s="546"/>
      <c r="CO104" s="546"/>
      <c r="CP104" s="546"/>
      <c r="CQ104" s="546"/>
      <c r="CR104" s="546"/>
      <c r="CS104" s="546"/>
      <c r="CT104" s="546"/>
      <c r="CU104" s="546"/>
      <c r="CV104" s="546"/>
      <c r="CW104" s="546"/>
      <c r="CX104" s="546"/>
      <c r="CY104" s="546"/>
      <c r="CZ104" s="546"/>
      <c r="DA104" s="546"/>
      <c r="DB104" s="546"/>
      <c r="DC104" s="546"/>
      <c r="DD104" s="546"/>
      <c r="DE104" s="546"/>
      <c r="DF104" s="546"/>
      <c r="DG104" s="546"/>
      <c r="DH104" s="546"/>
      <c r="DI104" s="546"/>
      <c r="DJ104" s="546"/>
      <c r="DK104" s="546"/>
      <c r="DL104" s="546"/>
      <c r="DM104" s="546"/>
      <c r="DN104" s="546"/>
      <c r="DO104" s="546"/>
      <c r="DP104" s="546"/>
      <c r="DQ104" s="546"/>
      <c r="DR104" s="546"/>
      <c r="DS104" s="546"/>
      <c r="DT104" s="546"/>
      <c r="DU104" s="546"/>
      <c r="DV104" s="546"/>
      <c r="DW104" s="546"/>
      <c r="DX104" s="546"/>
      <c r="DY104" s="546"/>
      <c r="DZ104" s="546"/>
      <c r="EA104" s="546"/>
      <c r="EB104" s="546"/>
      <c r="EC104" s="546"/>
    </row>
    <row r="105" spans="71:133" s="651" customFormat="1">
      <c r="BS105" s="546"/>
      <c r="BT105" s="546"/>
      <c r="BU105" s="546"/>
      <c r="BV105" s="546"/>
      <c r="BW105" s="546"/>
      <c r="BX105" s="546"/>
      <c r="BY105" s="546"/>
      <c r="BZ105" s="546"/>
      <c r="CA105" s="546"/>
      <c r="CB105" s="546"/>
      <c r="CC105" s="546"/>
      <c r="CD105" s="546"/>
      <c r="CE105" s="546"/>
      <c r="CF105" s="546"/>
      <c r="CG105" s="546"/>
      <c r="CH105" s="546"/>
      <c r="CI105" s="546"/>
      <c r="CJ105" s="546"/>
      <c r="CK105" s="546"/>
      <c r="CL105" s="546"/>
      <c r="CM105" s="546"/>
      <c r="CN105" s="546"/>
      <c r="CO105" s="546"/>
      <c r="CP105" s="546"/>
      <c r="CQ105" s="546"/>
      <c r="CR105" s="546"/>
      <c r="CS105" s="546"/>
      <c r="CT105" s="546"/>
      <c r="CU105" s="546"/>
      <c r="CV105" s="546"/>
      <c r="CW105" s="546"/>
      <c r="CX105" s="546"/>
      <c r="CY105" s="546"/>
      <c r="CZ105" s="546"/>
      <c r="DA105" s="546"/>
      <c r="DB105" s="546"/>
      <c r="DC105" s="546"/>
      <c r="DD105" s="546"/>
      <c r="DE105" s="546"/>
      <c r="DF105" s="546"/>
      <c r="DG105" s="546"/>
      <c r="DH105" s="546"/>
      <c r="DI105" s="546"/>
      <c r="DJ105" s="546"/>
      <c r="DK105" s="546"/>
      <c r="DL105" s="546"/>
      <c r="DM105" s="546"/>
      <c r="DN105" s="546"/>
      <c r="DO105" s="546"/>
      <c r="DP105" s="546"/>
      <c r="DQ105" s="546"/>
      <c r="DR105" s="546"/>
      <c r="DS105" s="546"/>
      <c r="DT105" s="546"/>
      <c r="DU105" s="546"/>
      <c r="DV105" s="546"/>
      <c r="DW105" s="546"/>
      <c r="DX105" s="546"/>
      <c r="DY105" s="546"/>
      <c r="DZ105" s="546"/>
      <c r="EA105" s="546"/>
      <c r="EB105" s="546"/>
      <c r="EC105" s="546"/>
    </row>
    <row r="106" spans="71:133" s="651" customFormat="1">
      <c r="BS106" s="546"/>
      <c r="BT106" s="546"/>
      <c r="BU106" s="546"/>
      <c r="BV106" s="546"/>
      <c r="BW106" s="546"/>
      <c r="BX106" s="546"/>
      <c r="BY106" s="546"/>
      <c r="BZ106" s="546"/>
      <c r="CA106" s="546"/>
      <c r="CB106" s="546"/>
      <c r="CC106" s="546"/>
      <c r="CD106" s="546"/>
      <c r="CE106" s="546"/>
      <c r="CF106" s="546"/>
      <c r="CG106" s="546"/>
      <c r="CH106" s="546"/>
      <c r="CI106" s="546"/>
      <c r="CJ106" s="546"/>
      <c r="CK106" s="546"/>
      <c r="CL106" s="546"/>
      <c r="CM106" s="546"/>
      <c r="CN106" s="546"/>
      <c r="CO106" s="546"/>
      <c r="CP106" s="546"/>
      <c r="CQ106" s="546"/>
      <c r="CR106" s="546"/>
      <c r="CS106" s="546"/>
      <c r="CT106" s="546"/>
      <c r="CU106" s="546"/>
      <c r="CV106" s="546"/>
      <c r="CW106" s="546"/>
      <c r="CX106" s="546"/>
      <c r="CY106" s="546"/>
      <c r="CZ106" s="546"/>
      <c r="DA106" s="546"/>
      <c r="DB106" s="546"/>
      <c r="DC106" s="546"/>
      <c r="DD106" s="546"/>
      <c r="DE106" s="546"/>
      <c r="DF106" s="546"/>
      <c r="DG106" s="546"/>
      <c r="DH106" s="546"/>
      <c r="DI106" s="546"/>
      <c r="DJ106" s="546"/>
      <c r="DK106" s="546"/>
      <c r="DL106" s="546"/>
      <c r="DM106" s="546"/>
      <c r="DN106" s="546"/>
      <c r="DO106" s="546"/>
      <c r="DP106" s="546"/>
      <c r="DQ106" s="546"/>
      <c r="DR106" s="546"/>
      <c r="DS106" s="546"/>
      <c r="DT106" s="546"/>
      <c r="DU106" s="546"/>
      <c r="DV106" s="546"/>
      <c r="DW106" s="546"/>
      <c r="DX106" s="546"/>
      <c r="DY106" s="546"/>
      <c r="DZ106" s="546"/>
      <c r="EA106" s="546"/>
      <c r="EB106" s="546"/>
      <c r="EC106" s="546"/>
    </row>
    <row r="107" spans="71:133" s="651" customFormat="1">
      <c r="BS107" s="546"/>
      <c r="BT107" s="546"/>
      <c r="BU107" s="546"/>
      <c r="BV107" s="546"/>
      <c r="BW107" s="546"/>
      <c r="BX107" s="546"/>
      <c r="BY107" s="546"/>
      <c r="BZ107" s="546"/>
      <c r="CA107" s="546"/>
      <c r="CB107" s="546"/>
      <c r="CC107" s="546"/>
      <c r="CD107" s="546"/>
      <c r="CE107" s="546"/>
      <c r="CF107" s="546"/>
      <c r="CG107" s="546"/>
      <c r="CH107" s="546"/>
      <c r="CI107" s="546"/>
      <c r="CJ107" s="546"/>
      <c r="CK107" s="546"/>
      <c r="CL107" s="546"/>
      <c r="CM107" s="546"/>
      <c r="CN107" s="546"/>
      <c r="CO107" s="546"/>
      <c r="CP107" s="546"/>
      <c r="CQ107" s="546"/>
      <c r="CR107" s="546"/>
      <c r="CS107" s="546"/>
      <c r="CT107" s="546"/>
      <c r="CU107" s="546"/>
      <c r="CV107" s="546"/>
      <c r="CW107" s="546"/>
      <c r="CX107" s="546"/>
      <c r="CY107" s="546"/>
      <c r="CZ107" s="546"/>
      <c r="DA107" s="546"/>
      <c r="DB107" s="546"/>
      <c r="DC107" s="546"/>
      <c r="DD107" s="546"/>
      <c r="DE107" s="546"/>
      <c r="DF107" s="546"/>
      <c r="DG107" s="546"/>
      <c r="DH107" s="546"/>
      <c r="DI107" s="546"/>
      <c r="DJ107" s="546"/>
      <c r="DK107" s="546"/>
      <c r="DL107" s="546"/>
      <c r="DM107" s="546"/>
      <c r="DN107" s="546"/>
      <c r="DO107" s="546"/>
      <c r="DP107" s="546"/>
      <c r="DQ107" s="546"/>
      <c r="DR107" s="546"/>
      <c r="DS107" s="546"/>
      <c r="DT107" s="546"/>
      <c r="DU107" s="546"/>
      <c r="DV107" s="546"/>
      <c r="DW107" s="546"/>
      <c r="DX107" s="546"/>
      <c r="DY107" s="546"/>
      <c r="DZ107" s="546"/>
      <c r="EA107" s="546"/>
      <c r="EB107" s="546"/>
      <c r="EC107" s="546"/>
    </row>
    <row r="108" spans="71:133" s="651" customFormat="1">
      <c r="BS108" s="546"/>
      <c r="BT108" s="546"/>
      <c r="BU108" s="546"/>
      <c r="BV108" s="546"/>
      <c r="BW108" s="546"/>
      <c r="BX108" s="546"/>
      <c r="BY108" s="546"/>
      <c r="BZ108" s="546"/>
      <c r="CA108" s="546"/>
      <c r="CB108" s="546"/>
      <c r="CC108" s="546"/>
      <c r="CD108" s="546"/>
      <c r="CE108" s="546"/>
      <c r="CF108" s="546"/>
      <c r="CG108" s="546"/>
      <c r="CH108" s="546"/>
      <c r="CI108" s="546"/>
      <c r="CJ108" s="546"/>
      <c r="CK108" s="546"/>
      <c r="CL108" s="546"/>
      <c r="CM108" s="546"/>
      <c r="CN108" s="546"/>
      <c r="CO108" s="546"/>
      <c r="CP108" s="546"/>
      <c r="CQ108" s="546"/>
      <c r="CR108" s="546"/>
      <c r="CS108" s="546"/>
      <c r="CT108" s="546"/>
      <c r="CU108" s="546"/>
      <c r="CV108" s="546"/>
      <c r="CW108" s="546"/>
      <c r="CX108" s="546"/>
      <c r="CY108" s="546"/>
      <c r="CZ108" s="546"/>
      <c r="DA108" s="546"/>
      <c r="DB108" s="546"/>
      <c r="DC108" s="546"/>
      <c r="DD108" s="546"/>
      <c r="DE108" s="546"/>
      <c r="DF108" s="546"/>
      <c r="DG108" s="546"/>
      <c r="DH108" s="546"/>
      <c r="DI108" s="546"/>
      <c r="DJ108" s="546"/>
      <c r="DK108" s="546"/>
      <c r="DL108" s="546"/>
      <c r="DM108" s="546"/>
      <c r="DN108" s="546"/>
      <c r="DO108" s="546"/>
      <c r="DP108" s="546"/>
      <c r="DQ108" s="546"/>
      <c r="DR108" s="546"/>
      <c r="DS108" s="546"/>
      <c r="DT108" s="546"/>
      <c r="DU108" s="546"/>
      <c r="DV108" s="546"/>
      <c r="DW108" s="546"/>
      <c r="DX108" s="546"/>
      <c r="DY108" s="546"/>
      <c r="DZ108" s="546"/>
      <c r="EA108" s="546"/>
      <c r="EB108" s="546"/>
      <c r="EC108" s="546"/>
    </row>
    <row r="109" spans="71:133" s="651" customFormat="1">
      <c r="BS109" s="546"/>
      <c r="BT109" s="546"/>
      <c r="BU109" s="546"/>
      <c r="BV109" s="546"/>
      <c r="BW109" s="546"/>
      <c r="BX109" s="546"/>
      <c r="BY109" s="546"/>
      <c r="BZ109" s="546"/>
      <c r="CA109" s="546"/>
      <c r="CB109" s="546"/>
      <c r="CC109" s="546"/>
      <c r="CD109" s="546"/>
      <c r="CE109" s="546"/>
      <c r="CF109" s="546"/>
      <c r="CG109" s="546"/>
      <c r="CH109" s="546"/>
      <c r="CI109" s="546"/>
      <c r="CJ109" s="546"/>
      <c r="CK109" s="546"/>
      <c r="CL109" s="546"/>
      <c r="CM109" s="546"/>
      <c r="CN109" s="546"/>
      <c r="CO109" s="546"/>
      <c r="CP109" s="546"/>
      <c r="CQ109" s="546"/>
      <c r="CR109" s="546"/>
      <c r="CS109" s="546"/>
      <c r="CT109" s="546"/>
      <c r="CU109" s="546"/>
      <c r="CV109" s="546"/>
      <c r="CW109" s="546"/>
      <c r="CX109" s="546"/>
      <c r="CY109" s="546"/>
      <c r="CZ109" s="546"/>
      <c r="DA109" s="546"/>
      <c r="DB109" s="546"/>
      <c r="DC109" s="546"/>
      <c r="DD109" s="546"/>
      <c r="DE109" s="546"/>
      <c r="DF109" s="546"/>
      <c r="DG109" s="546"/>
      <c r="DH109" s="546"/>
      <c r="DI109" s="546"/>
      <c r="DJ109" s="546"/>
      <c r="DK109" s="546"/>
      <c r="DL109" s="546"/>
      <c r="DM109" s="546"/>
      <c r="DN109" s="546"/>
      <c r="DO109" s="546"/>
      <c r="DP109" s="546"/>
      <c r="DQ109" s="546"/>
      <c r="DR109" s="546"/>
      <c r="DS109" s="546"/>
      <c r="DT109" s="546"/>
      <c r="DU109" s="546"/>
      <c r="DV109" s="546"/>
      <c r="DW109" s="546"/>
      <c r="DX109" s="546"/>
      <c r="DY109" s="546"/>
      <c r="DZ109" s="546"/>
      <c r="EA109" s="546"/>
      <c r="EB109" s="546"/>
      <c r="EC109" s="546"/>
    </row>
    <row r="110" spans="71:133" s="651" customFormat="1">
      <c r="BS110" s="546"/>
      <c r="BT110" s="546"/>
      <c r="BU110" s="546"/>
      <c r="BV110" s="546"/>
      <c r="BW110" s="546"/>
      <c r="BX110" s="546"/>
      <c r="BY110" s="546"/>
      <c r="BZ110" s="546"/>
      <c r="CA110" s="546"/>
      <c r="CB110" s="546"/>
      <c r="CC110" s="546"/>
      <c r="CD110" s="546"/>
      <c r="CE110" s="546"/>
      <c r="CF110" s="546"/>
      <c r="CG110" s="546"/>
      <c r="CH110" s="546"/>
      <c r="CI110" s="546"/>
      <c r="CJ110" s="546"/>
      <c r="CK110" s="546"/>
      <c r="CL110" s="546"/>
      <c r="CM110" s="546"/>
      <c r="CN110" s="546"/>
      <c r="CO110" s="546"/>
      <c r="CP110" s="546"/>
      <c r="CQ110" s="546"/>
      <c r="CR110" s="546"/>
      <c r="CS110" s="546"/>
      <c r="CT110" s="546"/>
      <c r="CU110" s="546"/>
      <c r="CV110" s="546"/>
      <c r="CW110" s="546"/>
      <c r="CX110" s="546"/>
      <c r="CY110" s="546"/>
      <c r="CZ110" s="546"/>
      <c r="DA110" s="546"/>
      <c r="DB110" s="546"/>
      <c r="DC110" s="546"/>
      <c r="DD110" s="546"/>
      <c r="DE110" s="546"/>
      <c r="DF110" s="546"/>
      <c r="DG110" s="546"/>
      <c r="DH110" s="546"/>
      <c r="DI110" s="546"/>
      <c r="DJ110" s="546"/>
      <c r="DK110" s="546"/>
      <c r="DL110" s="546"/>
      <c r="DM110" s="546"/>
      <c r="DN110" s="546"/>
      <c r="DO110" s="546"/>
      <c r="DP110" s="546"/>
      <c r="DQ110" s="546"/>
      <c r="DR110" s="546"/>
      <c r="DS110" s="546"/>
      <c r="DT110" s="546"/>
      <c r="DU110" s="546"/>
      <c r="DV110" s="546"/>
      <c r="DW110" s="546"/>
      <c r="DX110" s="546"/>
      <c r="DY110" s="546"/>
      <c r="DZ110" s="546"/>
      <c r="EA110" s="546"/>
      <c r="EB110" s="546"/>
      <c r="EC110" s="546"/>
    </row>
    <row r="111" spans="71:133" s="651" customFormat="1">
      <c r="BS111" s="546"/>
      <c r="BT111" s="546"/>
      <c r="BU111" s="546"/>
      <c r="BV111" s="546"/>
      <c r="BW111" s="546"/>
      <c r="BX111" s="546"/>
      <c r="BY111" s="546"/>
      <c r="BZ111" s="546"/>
      <c r="CA111" s="546"/>
      <c r="CB111" s="546"/>
      <c r="CC111" s="546"/>
      <c r="CD111" s="546"/>
      <c r="CE111" s="546"/>
      <c r="CF111" s="546"/>
      <c r="CG111" s="546"/>
      <c r="CH111" s="546"/>
      <c r="CI111" s="546"/>
      <c r="CJ111" s="546"/>
      <c r="CK111" s="546"/>
      <c r="CL111" s="546"/>
      <c r="CM111" s="546"/>
      <c r="CN111" s="546"/>
      <c r="CO111" s="546"/>
      <c r="CP111" s="546"/>
      <c r="CQ111" s="546"/>
      <c r="CR111" s="546"/>
      <c r="CS111" s="546"/>
      <c r="CT111" s="546"/>
      <c r="CU111" s="546"/>
      <c r="CV111" s="546"/>
      <c r="CW111" s="546"/>
      <c r="CX111" s="546"/>
      <c r="CY111" s="546"/>
      <c r="CZ111" s="546"/>
      <c r="DA111" s="546"/>
      <c r="DB111" s="546"/>
      <c r="DC111" s="546"/>
      <c r="DD111" s="546"/>
      <c r="DE111" s="546"/>
      <c r="DF111" s="546"/>
      <c r="DG111" s="546"/>
      <c r="DH111" s="546"/>
      <c r="DI111" s="546"/>
      <c r="DJ111" s="546"/>
      <c r="DK111" s="546"/>
      <c r="DL111" s="546"/>
      <c r="DM111" s="546"/>
      <c r="DN111" s="546"/>
      <c r="DO111" s="546"/>
      <c r="DP111" s="546"/>
      <c r="DQ111" s="546"/>
      <c r="DR111" s="546"/>
      <c r="DS111" s="546"/>
      <c r="DT111" s="546"/>
      <c r="DU111" s="546"/>
      <c r="DV111" s="546"/>
      <c r="DW111" s="546"/>
      <c r="DX111" s="546"/>
      <c r="DY111" s="546"/>
      <c r="DZ111" s="546"/>
      <c r="EA111" s="546"/>
      <c r="EB111" s="546"/>
      <c r="EC111" s="546"/>
    </row>
    <row r="112" spans="71:133" s="651" customFormat="1">
      <c r="BS112" s="546"/>
      <c r="BT112" s="546"/>
      <c r="BU112" s="546"/>
      <c r="BV112" s="546"/>
      <c r="BW112" s="546"/>
      <c r="BX112" s="546"/>
      <c r="BY112" s="546"/>
      <c r="BZ112" s="546"/>
      <c r="CA112" s="546"/>
      <c r="CB112" s="546"/>
      <c r="CC112" s="546"/>
      <c r="CD112" s="546"/>
      <c r="CE112" s="546"/>
      <c r="CF112" s="546"/>
      <c r="CG112" s="546"/>
      <c r="CH112" s="546"/>
      <c r="CI112" s="546"/>
      <c r="CJ112" s="546"/>
      <c r="CK112" s="546"/>
      <c r="CL112" s="546"/>
      <c r="CM112" s="546"/>
      <c r="CN112" s="546"/>
      <c r="CO112" s="546"/>
      <c r="CP112" s="546"/>
      <c r="CQ112" s="546"/>
      <c r="CR112" s="546"/>
      <c r="CS112" s="546"/>
      <c r="CT112" s="546"/>
      <c r="CU112" s="546"/>
      <c r="CV112" s="546"/>
      <c r="CW112" s="546"/>
      <c r="CX112" s="546"/>
      <c r="CY112" s="546"/>
      <c r="CZ112" s="546"/>
      <c r="DA112" s="546"/>
      <c r="DB112" s="546"/>
      <c r="DC112" s="546"/>
      <c r="DD112" s="546"/>
      <c r="DE112" s="546"/>
      <c r="DF112" s="546"/>
      <c r="DG112" s="546"/>
      <c r="DH112" s="546"/>
      <c r="DI112" s="546"/>
      <c r="DJ112" s="546"/>
      <c r="DK112" s="546"/>
      <c r="DL112" s="546"/>
      <c r="DM112" s="546"/>
      <c r="DN112" s="546"/>
      <c r="DO112" s="546"/>
      <c r="DP112" s="546"/>
      <c r="DQ112" s="546"/>
      <c r="DR112" s="546"/>
      <c r="DS112" s="546"/>
      <c r="DT112" s="546"/>
      <c r="DU112" s="546"/>
      <c r="DV112" s="546"/>
      <c r="DW112" s="546"/>
      <c r="DX112" s="546"/>
      <c r="DY112" s="546"/>
      <c r="DZ112" s="546"/>
      <c r="EA112" s="546"/>
      <c r="EB112" s="546"/>
      <c r="EC112" s="546"/>
    </row>
    <row r="113" spans="1:133" s="651" customFormat="1">
      <c r="BS113" s="546"/>
      <c r="BT113" s="546"/>
      <c r="BU113" s="546"/>
      <c r="BV113" s="546"/>
      <c r="BW113" s="546"/>
      <c r="BX113" s="546"/>
      <c r="BY113" s="546"/>
      <c r="BZ113" s="546"/>
      <c r="CA113" s="546"/>
      <c r="CB113" s="546"/>
      <c r="CC113" s="546"/>
      <c r="CD113" s="546"/>
      <c r="CE113" s="546"/>
      <c r="CF113" s="546"/>
      <c r="CG113" s="546"/>
      <c r="CH113" s="546"/>
      <c r="CI113" s="546"/>
      <c r="CJ113" s="546"/>
      <c r="CK113" s="546"/>
      <c r="CL113" s="546"/>
      <c r="CM113" s="546"/>
      <c r="CN113" s="546"/>
      <c r="CO113" s="546"/>
      <c r="CP113" s="546"/>
      <c r="CQ113" s="546"/>
      <c r="CR113" s="546"/>
      <c r="CS113" s="546"/>
      <c r="CT113" s="546"/>
      <c r="CU113" s="546"/>
      <c r="CV113" s="546"/>
      <c r="CW113" s="546"/>
      <c r="CX113" s="546"/>
      <c r="CY113" s="546"/>
      <c r="CZ113" s="546"/>
      <c r="DA113" s="546"/>
      <c r="DB113" s="546"/>
      <c r="DC113" s="546"/>
      <c r="DD113" s="546"/>
      <c r="DE113" s="546"/>
      <c r="DF113" s="546"/>
      <c r="DG113" s="546"/>
      <c r="DH113" s="546"/>
      <c r="DI113" s="546"/>
      <c r="DJ113" s="546"/>
      <c r="DK113" s="546"/>
      <c r="DL113" s="546"/>
      <c r="DM113" s="546"/>
      <c r="DN113" s="546"/>
      <c r="DO113" s="546"/>
      <c r="DP113" s="546"/>
      <c r="DQ113" s="546"/>
      <c r="DR113" s="546"/>
      <c r="DS113" s="546"/>
      <c r="DT113" s="546"/>
      <c r="DU113" s="546"/>
      <c r="DV113" s="546"/>
      <c r="DW113" s="546"/>
      <c r="DX113" s="546"/>
      <c r="DY113" s="546"/>
      <c r="DZ113" s="546"/>
      <c r="EA113" s="546"/>
      <c r="EB113" s="546"/>
      <c r="EC113" s="546"/>
    </row>
    <row r="114" spans="1:133" s="651" customFormat="1">
      <c r="BS114" s="546"/>
      <c r="BT114" s="546"/>
      <c r="BU114" s="546"/>
      <c r="BV114" s="546"/>
      <c r="BW114" s="546"/>
      <c r="BX114" s="546"/>
      <c r="BY114" s="546"/>
      <c r="BZ114" s="546"/>
      <c r="CA114" s="546"/>
      <c r="CB114" s="546"/>
      <c r="CC114" s="546"/>
      <c r="CD114" s="546"/>
      <c r="CE114" s="546"/>
      <c r="CF114" s="546"/>
      <c r="CG114" s="546"/>
      <c r="CH114" s="546"/>
      <c r="CI114" s="546"/>
      <c r="CJ114" s="546"/>
      <c r="CK114" s="546"/>
      <c r="CL114" s="546"/>
      <c r="CM114" s="546"/>
      <c r="CN114" s="546"/>
      <c r="CO114" s="546"/>
      <c r="CP114" s="546"/>
      <c r="CQ114" s="546"/>
      <c r="CR114" s="546"/>
      <c r="CS114" s="546"/>
      <c r="CT114" s="546"/>
      <c r="CU114" s="546"/>
      <c r="CV114" s="546"/>
      <c r="CW114" s="546"/>
      <c r="CX114" s="546"/>
      <c r="CY114" s="546"/>
      <c r="CZ114" s="546"/>
      <c r="DA114" s="546"/>
      <c r="DB114" s="546"/>
      <c r="DC114" s="546"/>
      <c r="DD114" s="546"/>
      <c r="DE114" s="546"/>
      <c r="DF114" s="546"/>
      <c r="DG114" s="546"/>
      <c r="DH114" s="546"/>
      <c r="DI114" s="546"/>
      <c r="DJ114" s="546"/>
      <c r="DK114" s="546"/>
      <c r="DL114" s="546"/>
      <c r="DM114" s="546"/>
      <c r="DN114" s="546"/>
      <c r="DO114" s="546"/>
      <c r="DP114" s="546"/>
      <c r="DQ114" s="546"/>
      <c r="DR114" s="546"/>
      <c r="DS114" s="546"/>
      <c r="DT114" s="546"/>
      <c r="DU114" s="546"/>
      <c r="DV114" s="546"/>
      <c r="DW114" s="546"/>
      <c r="DX114" s="546"/>
      <c r="DY114" s="546"/>
      <c r="DZ114" s="546"/>
      <c r="EA114" s="546"/>
      <c r="EB114" s="546"/>
      <c r="EC114" s="546"/>
    </row>
    <row r="115" spans="1:133" s="651" customFormat="1">
      <c r="BS115" s="546"/>
      <c r="BT115" s="546"/>
      <c r="BU115" s="546"/>
      <c r="BV115" s="546"/>
      <c r="BW115" s="546"/>
      <c r="BX115" s="546"/>
      <c r="BY115" s="546"/>
      <c r="BZ115" s="546"/>
      <c r="CA115" s="546"/>
      <c r="CB115" s="546"/>
      <c r="CC115" s="546"/>
      <c r="CD115" s="546"/>
      <c r="CE115" s="546"/>
      <c r="CF115" s="546"/>
      <c r="CG115" s="546"/>
      <c r="CH115" s="546"/>
      <c r="CI115" s="546"/>
      <c r="CJ115" s="546"/>
      <c r="CK115" s="546"/>
      <c r="CL115" s="546"/>
      <c r="CM115" s="546"/>
      <c r="CN115" s="546"/>
      <c r="CO115" s="546"/>
      <c r="CP115" s="546"/>
      <c r="CQ115" s="546"/>
      <c r="CR115" s="546"/>
      <c r="CS115" s="546"/>
      <c r="CT115" s="546"/>
      <c r="CU115" s="546"/>
      <c r="CV115" s="546"/>
      <c r="CW115" s="546"/>
      <c r="CX115" s="546"/>
      <c r="CY115" s="546"/>
      <c r="CZ115" s="546"/>
      <c r="DA115" s="546"/>
      <c r="DB115" s="546"/>
      <c r="DC115" s="546"/>
      <c r="DD115" s="546"/>
      <c r="DE115" s="546"/>
      <c r="DF115" s="546"/>
      <c r="DG115" s="546"/>
      <c r="DH115" s="546"/>
      <c r="DI115" s="546"/>
      <c r="DJ115" s="546"/>
      <c r="DK115" s="546"/>
      <c r="DL115" s="546"/>
      <c r="DM115" s="546"/>
      <c r="DN115" s="546"/>
      <c r="DO115" s="546"/>
      <c r="DP115" s="546"/>
      <c r="DQ115" s="546"/>
      <c r="DR115" s="546"/>
      <c r="DS115" s="546"/>
      <c r="DT115" s="546"/>
      <c r="DU115" s="546"/>
      <c r="DV115" s="546"/>
      <c r="DW115" s="546"/>
      <c r="DX115" s="546"/>
      <c r="DY115" s="546"/>
      <c r="DZ115" s="546"/>
      <c r="EA115" s="546"/>
      <c r="EB115" s="546"/>
      <c r="EC115" s="546"/>
    </row>
    <row r="116" spans="1:133" s="651" customFormat="1">
      <c r="BS116" s="546"/>
      <c r="BT116" s="546"/>
      <c r="BU116" s="546"/>
      <c r="BV116" s="546"/>
      <c r="BW116" s="546"/>
      <c r="BX116" s="546"/>
      <c r="BY116" s="546"/>
      <c r="BZ116" s="546"/>
      <c r="CA116" s="546"/>
      <c r="CB116" s="546"/>
      <c r="CC116" s="546"/>
      <c r="CD116" s="546"/>
      <c r="CE116" s="546"/>
      <c r="CF116" s="546"/>
      <c r="CG116" s="546"/>
      <c r="CH116" s="546"/>
      <c r="CI116" s="546"/>
      <c r="CJ116" s="546"/>
      <c r="CK116" s="546"/>
      <c r="CL116" s="546"/>
      <c r="CM116" s="546"/>
      <c r="CN116" s="546"/>
      <c r="CO116" s="546"/>
      <c r="CP116" s="546"/>
      <c r="CQ116" s="546"/>
      <c r="CR116" s="546"/>
      <c r="CS116" s="546"/>
      <c r="CT116" s="546"/>
      <c r="CU116" s="546"/>
      <c r="CV116" s="546"/>
      <c r="CW116" s="546"/>
      <c r="CX116" s="546"/>
      <c r="CY116" s="546"/>
      <c r="CZ116" s="546"/>
      <c r="DA116" s="546"/>
      <c r="DB116" s="546"/>
      <c r="DC116" s="546"/>
      <c r="DD116" s="546"/>
      <c r="DE116" s="546"/>
      <c r="DF116" s="546"/>
      <c r="DG116" s="546"/>
      <c r="DH116" s="546"/>
      <c r="DI116" s="546"/>
      <c r="DJ116" s="546"/>
      <c r="DK116" s="546"/>
      <c r="DL116" s="546"/>
      <c r="DM116" s="546"/>
      <c r="DN116" s="546"/>
      <c r="DO116" s="546"/>
      <c r="DP116" s="546"/>
      <c r="DQ116" s="546"/>
      <c r="DR116" s="546"/>
      <c r="DS116" s="546"/>
      <c r="DT116" s="546"/>
      <c r="DU116" s="546"/>
      <c r="DV116" s="546"/>
      <c r="DW116" s="546"/>
      <c r="DX116" s="546"/>
      <c r="DY116" s="546"/>
      <c r="DZ116" s="546"/>
      <c r="EA116" s="546"/>
      <c r="EB116" s="546"/>
      <c r="EC116" s="546"/>
    </row>
    <row r="117" spans="1:133" s="651" customFormat="1">
      <c r="BS117" s="546"/>
      <c r="BT117" s="546"/>
      <c r="BU117" s="546"/>
      <c r="BV117" s="546"/>
      <c r="BW117" s="546"/>
      <c r="BX117" s="546"/>
      <c r="BY117" s="546"/>
      <c r="BZ117" s="546"/>
      <c r="CA117" s="546"/>
      <c r="CB117" s="546"/>
      <c r="CC117" s="546"/>
      <c r="CD117" s="546"/>
      <c r="CE117" s="546"/>
      <c r="CF117" s="546"/>
      <c r="CG117" s="546"/>
      <c r="CH117" s="546"/>
      <c r="CI117" s="546"/>
      <c r="CJ117" s="546"/>
      <c r="CK117" s="546"/>
      <c r="CL117" s="546"/>
      <c r="CM117" s="546"/>
      <c r="CN117" s="546"/>
      <c r="CO117" s="546"/>
      <c r="CP117" s="546"/>
      <c r="CQ117" s="546"/>
      <c r="CR117" s="546"/>
      <c r="CS117" s="546"/>
      <c r="CT117" s="546"/>
      <c r="CU117" s="546"/>
      <c r="CV117" s="546"/>
      <c r="CW117" s="546"/>
      <c r="CX117" s="546"/>
      <c r="CY117" s="546"/>
      <c r="CZ117" s="546"/>
      <c r="DA117" s="546"/>
      <c r="DB117" s="546"/>
      <c r="DC117" s="546"/>
      <c r="DD117" s="546"/>
      <c r="DE117" s="546"/>
      <c r="DF117" s="546"/>
      <c r="DG117" s="546"/>
      <c r="DH117" s="546"/>
      <c r="DI117" s="546"/>
      <c r="DJ117" s="546"/>
      <c r="DK117" s="546"/>
      <c r="DL117" s="546"/>
      <c r="DM117" s="546"/>
      <c r="DN117" s="546"/>
      <c r="DO117" s="546"/>
      <c r="DP117" s="546"/>
      <c r="DQ117" s="546"/>
      <c r="DR117" s="546"/>
      <c r="DS117" s="546"/>
      <c r="DT117" s="546"/>
      <c r="DU117" s="546"/>
      <c r="DV117" s="546"/>
      <c r="DW117" s="546"/>
      <c r="DX117" s="546"/>
      <c r="DY117" s="546"/>
      <c r="DZ117" s="546"/>
      <c r="EA117" s="546"/>
      <c r="EB117" s="546"/>
      <c r="EC117" s="546"/>
    </row>
    <row r="118" spans="1:133" s="651" customFormat="1">
      <c r="A118" s="314"/>
      <c r="B118" s="314"/>
      <c r="BS118" s="546"/>
      <c r="BT118" s="546"/>
      <c r="BU118" s="546"/>
      <c r="BV118" s="546"/>
      <c r="BW118" s="546"/>
      <c r="BX118" s="546"/>
      <c r="BY118" s="546"/>
      <c r="BZ118" s="546"/>
      <c r="CA118" s="546"/>
      <c r="CB118" s="546"/>
      <c r="CC118" s="546"/>
      <c r="CD118" s="546"/>
      <c r="CE118" s="546"/>
      <c r="CF118" s="546"/>
      <c r="CG118" s="546"/>
      <c r="CH118" s="546"/>
      <c r="CI118" s="546"/>
      <c r="CJ118" s="546"/>
      <c r="CK118" s="546"/>
      <c r="CL118" s="546"/>
      <c r="CM118" s="546"/>
      <c r="CN118" s="546"/>
      <c r="CO118" s="546"/>
      <c r="CP118" s="546"/>
      <c r="CQ118" s="546"/>
      <c r="CR118" s="546"/>
      <c r="CS118" s="546"/>
      <c r="CT118" s="546"/>
      <c r="CU118" s="546"/>
      <c r="CV118" s="546"/>
      <c r="CW118" s="546"/>
      <c r="CX118" s="546"/>
      <c r="CY118" s="546"/>
      <c r="CZ118" s="546"/>
      <c r="DA118" s="546"/>
      <c r="DB118" s="546"/>
      <c r="DC118" s="546"/>
      <c r="DD118" s="546"/>
      <c r="DE118" s="546"/>
      <c r="DF118" s="546"/>
      <c r="DG118" s="546"/>
      <c r="DH118" s="546"/>
      <c r="DI118" s="546"/>
      <c r="DJ118" s="546"/>
      <c r="DK118" s="546"/>
      <c r="DL118" s="546"/>
      <c r="DM118" s="546"/>
      <c r="DN118" s="546"/>
      <c r="DO118" s="546"/>
      <c r="DP118" s="546"/>
      <c r="DQ118" s="546"/>
      <c r="DR118" s="546"/>
      <c r="DS118" s="546"/>
      <c r="DT118" s="546"/>
      <c r="DU118" s="546"/>
      <c r="DV118" s="546"/>
      <c r="DW118" s="546"/>
      <c r="DX118" s="546"/>
      <c r="DY118" s="546"/>
      <c r="DZ118" s="546"/>
      <c r="EA118" s="546"/>
      <c r="EB118" s="546"/>
      <c r="EC118" s="546"/>
    </row>
    <row r="119" spans="1:133" s="651" customFormat="1">
      <c r="A119" s="314"/>
      <c r="B119" s="314"/>
      <c r="BS119" s="546"/>
      <c r="BT119" s="546"/>
      <c r="BU119" s="546"/>
      <c r="BV119" s="546"/>
      <c r="BW119" s="546"/>
      <c r="BX119" s="546"/>
      <c r="BY119" s="546"/>
      <c r="BZ119" s="546"/>
      <c r="CA119" s="546"/>
      <c r="CB119" s="546"/>
      <c r="CC119" s="546"/>
      <c r="CD119" s="546"/>
      <c r="CE119" s="546"/>
      <c r="CF119" s="546"/>
      <c r="CG119" s="546"/>
      <c r="CH119" s="546"/>
      <c r="CI119" s="546"/>
      <c r="CJ119" s="546"/>
      <c r="CK119" s="546"/>
      <c r="CL119" s="546"/>
      <c r="CM119" s="546"/>
      <c r="CN119" s="546"/>
      <c r="CO119" s="546"/>
      <c r="CP119" s="546"/>
      <c r="CQ119" s="546"/>
      <c r="CR119" s="546"/>
      <c r="CS119" s="546"/>
      <c r="CT119" s="546"/>
      <c r="CU119" s="546"/>
      <c r="CV119" s="546"/>
      <c r="CW119" s="546"/>
      <c r="CX119" s="546"/>
      <c r="CY119" s="546"/>
      <c r="CZ119" s="546"/>
      <c r="DA119" s="546"/>
      <c r="DB119" s="546"/>
      <c r="DC119" s="546"/>
      <c r="DD119" s="546"/>
      <c r="DE119" s="546"/>
      <c r="DF119" s="546"/>
      <c r="DG119" s="546"/>
      <c r="DH119" s="546"/>
      <c r="DI119" s="546"/>
      <c r="DJ119" s="546"/>
      <c r="DK119" s="546"/>
      <c r="DL119" s="546"/>
      <c r="DM119" s="546"/>
      <c r="DN119" s="546"/>
      <c r="DO119" s="546"/>
      <c r="DP119" s="546"/>
      <c r="DQ119" s="546"/>
      <c r="DR119" s="546"/>
      <c r="DS119" s="546"/>
      <c r="DT119" s="546"/>
      <c r="DU119" s="546"/>
      <c r="DV119" s="546"/>
      <c r="DW119" s="546"/>
      <c r="DX119" s="546"/>
      <c r="DY119" s="546"/>
      <c r="DZ119" s="546"/>
      <c r="EA119" s="546"/>
      <c r="EB119" s="546"/>
      <c r="EC119" s="546"/>
    </row>
  </sheetData>
  <sheetProtection algorithmName="SHA-512" hashValue="f6VkR3lIC34NmJJBsqdYlA3/ZLnqhIJiDfcY+grI9BGQ9NbaR+nHYr5686osDVMoq716vmiOgRVCwRrHqBwzoQ==" saltValue="GyUbGHA/zKPfGPnYGt79FQ==" spinCount="100000" sheet="1" objects="1" scenarios="1"/>
  <mergeCells count="168">
    <mergeCell ref="V63:AG64"/>
    <mergeCell ref="BD63:BE64"/>
    <mergeCell ref="BG63:BG64"/>
    <mergeCell ref="A66:BG66"/>
    <mergeCell ref="A67:BG67"/>
    <mergeCell ref="A58:BG58"/>
    <mergeCell ref="A59:AL60"/>
    <mergeCell ref="AM59:AM64"/>
    <mergeCell ref="AN59:BB59"/>
    <mergeCell ref="BC59:BC64"/>
    <mergeCell ref="AN60:BB64"/>
    <mergeCell ref="BD60:BG62"/>
    <mergeCell ref="E61:S61"/>
    <mergeCell ref="V62:AG62"/>
    <mergeCell ref="C63:D63"/>
    <mergeCell ref="A56:AG56"/>
    <mergeCell ref="AK56:BG56"/>
    <mergeCell ref="A57:AG57"/>
    <mergeCell ref="AH57:BG57"/>
    <mergeCell ref="BD51:BG51"/>
    <mergeCell ref="AJ52:BG52"/>
    <mergeCell ref="A53:AG53"/>
    <mergeCell ref="AL53:AU53"/>
    <mergeCell ref="A54:B55"/>
    <mergeCell ref="C54:P55"/>
    <mergeCell ref="Q54:AC55"/>
    <mergeCell ref="AD54:AG55"/>
    <mergeCell ref="AX54:BC55"/>
    <mergeCell ref="AJ55:AO55"/>
    <mergeCell ref="C51:K51"/>
    <mergeCell ref="L51:AC51"/>
    <mergeCell ref="AD51:AG51"/>
    <mergeCell ref="AH51:AI52"/>
    <mergeCell ref="AK51:AT51"/>
    <mergeCell ref="AU51:BC51"/>
    <mergeCell ref="AQ55:AS55"/>
    <mergeCell ref="AU55:AW55"/>
    <mergeCell ref="BD55:BG55"/>
    <mergeCell ref="C47:K48"/>
    <mergeCell ref="L47:AC48"/>
    <mergeCell ref="AD47:AG48"/>
    <mergeCell ref="AI47:BG47"/>
    <mergeCell ref="AH48:BG48"/>
    <mergeCell ref="A49:AG50"/>
    <mergeCell ref="AH49:BG49"/>
    <mergeCell ref="AH50:AQ50"/>
    <mergeCell ref="AR50:BF50"/>
    <mergeCell ref="C44:T45"/>
    <mergeCell ref="U44:X45"/>
    <mergeCell ref="Y44:AG45"/>
    <mergeCell ref="AH44:BG44"/>
    <mergeCell ref="AI45:AR45"/>
    <mergeCell ref="AT45:BG45"/>
    <mergeCell ref="C46:O46"/>
    <mergeCell ref="Q46:AD46"/>
    <mergeCell ref="AI46:AR46"/>
    <mergeCell ref="AT46:BG46"/>
    <mergeCell ref="U38:X38"/>
    <mergeCell ref="Y38:AG38"/>
    <mergeCell ref="AK38:AT38"/>
    <mergeCell ref="AU38:BC38"/>
    <mergeCell ref="BD38:BG38"/>
    <mergeCell ref="D42:AG43"/>
    <mergeCell ref="AU42:BC43"/>
    <mergeCell ref="BD42:BG43"/>
    <mergeCell ref="AJ43:AT43"/>
    <mergeCell ref="AK36:AT36"/>
    <mergeCell ref="AU36:BC36"/>
    <mergeCell ref="BD36:BG36"/>
    <mergeCell ref="K37:AG37"/>
    <mergeCell ref="AJ37:AR37"/>
    <mergeCell ref="AS37:BG37"/>
    <mergeCell ref="A34:AG34"/>
    <mergeCell ref="AI34:BG34"/>
    <mergeCell ref="C35:O35"/>
    <mergeCell ref="Q35:AD35"/>
    <mergeCell ref="AH35:AI40"/>
    <mergeCell ref="AJ35:AR35"/>
    <mergeCell ref="AS35:BG35"/>
    <mergeCell ref="C36:K36"/>
    <mergeCell ref="L36:AC36"/>
    <mergeCell ref="AD36:AG36"/>
    <mergeCell ref="K39:AG39"/>
    <mergeCell ref="AJ39:BG39"/>
    <mergeCell ref="C40:T41"/>
    <mergeCell ref="U40:X41"/>
    <mergeCell ref="Y40:AG41"/>
    <mergeCell ref="AJ40:BG40"/>
    <mergeCell ref="AJ41:BG41"/>
    <mergeCell ref="C38:T38"/>
    <mergeCell ref="C31:K32"/>
    <mergeCell ref="L31:AO31"/>
    <mergeCell ref="AQ31:BG33"/>
    <mergeCell ref="L32:AA32"/>
    <mergeCell ref="AC32:AO32"/>
    <mergeCell ref="A33:AP33"/>
    <mergeCell ref="Z29:AA29"/>
    <mergeCell ref="AB29:AD29"/>
    <mergeCell ref="AQ29:BG29"/>
    <mergeCell ref="A30:B30"/>
    <mergeCell ref="AB30:AD30"/>
    <mergeCell ref="AS30:BG30"/>
    <mergeCell ref="A27:B27"/>
    <mergeCell ref="AB27:AD27"/>
    <mergeCell ref="AF27:AJ27"/>
    <mergeCell ref="AL27:AP27"/>
    <mergeCell ref="AQ27:BG27"/>
    <mergeCell ref="C28:AP28"/>
    <mergeCell ref="AS28:BG28"/>
    <mergeCell ref="C25:AP25"/>
    <mergeCell ref="AQ25:BG25"/>
    <mergeCell ref="Z26:AA26"/>
    <mergeCell ref="AB26:AD26"/>
    <mergeCell ref="AE26:AJ26"/>
    <mergeCell ref="AK26:AP26"/>
    <mergeCell ref="AS26:BG26"/>
    <mergeCell ref="A19:BG19"/>
    <mergeCell ref="A20:BG20"/>
    <mergeCell ref="A21:BG21"/>
    <mergeCell ref="C22:AP22"/>
    <mergeCell ref="AS22:BG22"/>
    <mergeCell ref="Z23:AA23"/>
    <mergeCell ref="AB23:AP24"/>
    <mergeCell ref="AQ23:BG23"/>
    <mergeCell ref="A24:B24"/>
    <mergeCell ref="AS24:BG24"/>
    <mergeCell ref="A16:AV16"/>
    <mergeCell ref="AW16:BG16"/>
    <mergeCell ref="A17:AI17"/>
    <mergeCell ref="AJ17:AV17"/>
    <mergeCell ref="AW17:BG17"/>
    <mergeCell ref="A18:BG18"/>
    <mergeCell ref="A14:H14"/>
    <mergeCell ref="J14:AU14"/>
    <mergeCell ref="AW14:BG14"/>
    <mergeCell ref="A15:H15"/>
    <mergeCell ref="J15:AU15"/>
    <mergeCell ref="AW15:BG15"/>
    <mergeCell ref="A13:AJ13"/>
    <mergeCell ref="AL13:AU13"/>
    <mergeCell ref="AW13:BG13"/>
    <mergeCell ref="A8:BG8"/>
    <mergeCell ref="A9:BG9"/>
    <mergeCell ref="A10:AJ10"/>
    <mergeCell ref="AL10:BA10"/>
    <mergeCell ref="BC10:BG10"/>
    <mergeCell ref="A11:AJ11"/>
    <mergeCell ref="AL11:BA11"/>
    <mergeCell ref="BC11:BG11"/>
    <mergeCell ref="A7:AB7"/>
    <mergeCell ref="AC7:AF7"/>
    <mergeCell ref="AH7:AL7"/>
    <mergeCell ref="AO7:AS7"/>
    <mergeCell ref="A1:AB1"/>
    <mergeCell ref="AC1:AP1"/>
    <mergeCell ref="AT1:BG7"/>
    <mergeCell ref="A12:AK12"/>
    <mergeCell ref="AL12:AU12"/>
    <mergeCell ref="AW12:BG12"/>
    <mergeCell ref="BI1:BK1"/>
    <mergeCell ref="A2:Y2"/>
    <mergeCell ref="AC2:AP2"/>
    <mergeCell ref="A3:AB4"/>
    <mergeCell ref="AC3:AP3"/>
    <mergeCell ref="AC4:AP4"/>
    <mergeCell ref="A5:AC6"/>
    <mergeCell ref="AE5:AP5"/>
    <mergeCell ref="AG6:AO6"/>
  </mergeCells>
  <pageMargins left="0.62992125984251968" right="0.35433070866141736" top="0.59055118110236227" bottom="0.19685039370078741" header="0.51181102362204722" footer="0"/>
  <pageSetup paperSize="9" scale="8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555D6-5C39-490D-A1AB-E5504A1FEFA1}">
  <sheetPr>
    <pageSetUpPr fitToPage="1"/>
  </sheetPr>
  <dimension ref="A1:AD174"/>
  <sheetViews>
    <sheetView tabSelected="1" workbookViewId="0">
      <selection activeCell="A7" sqref="A7:J7"/>
    </sheetView>
  </sheetViews>
  <sheetFormatPr defaultColWidth="9.140625" defaultRowHeight="12.75"/>
  <cols>
    <col min="1" max="10" width="9.140625" style="314"/>
    <col min="11" max="11" width="9.140625" style="423"/>
    <col min="12" max="12" width="90.7109375" style="423" customWidth="1"/>
    <col min="13" max="30" width="9.140625" style="423"/>
    <col min="31" max="16384" width="9.140625" style="314"/>
  </cols>
  <sheetData>
    <row r="1" spans="1:12" ht="12.75" customHeight="1">
      <c r="A1" s="422"/>
      <c r="B1" s="422"/>
      <c r="C1" s="422"/>
      <c r="D1" s="422"/>
      <c r="E1" s="422"/>
      <c r="F1" s="422"/>
      <c r="G1" s="422"/>
      <c r="H1" s="422"/>
      <c r="I1" s="422"/>
      <c r="J1" s="422"/>
      <c r="L1" s="804"/>
    </row>
    <row r="2" spans="1:12" ht="12.75" customHeight="1">
      <c r="A2" s="422"/>
      <c r="B2" s="422"/>
      <c r="C2" s="422"/>
      <c r="D2" s="422"/>
      <c r="E2" s="422"/>
      <c r="F2" s="422"/>
      <c r="G2" s="422"/>
      <c r="H2" s="422"/>
      <c r="I2" s="422"/>
      <c r="J2" s="422"/>
      <c r="L2" s="804"/>
    </row>
    <row r="3" spans="1:12" ht="12.75" customHeight="1">
      <c r="A3" s="422"/>
      <c r="B3" s="422"/>
      <c r="C3" s="422"/>
      <c r="D3" s="422"/>
      <c r="E3" s="422"/>
      <c r="F3" s="422"/>
      <c r="G3" s="422"/>
      <c r="H3" s="422"/>
      <c r="I3" s="422"/>
      <c r="J3" s="422"/>
      <c r="L3" s="804"/>
    </row>
    <row r="4" spans="1:12">
      <c r="A4" s="422"/>
      <c r="B4" s="422"/>
      <c r="C4" s="422"/>
      <c r="D4" s="422"/>
      <c r="E4" s="422"/>
      <c r="F4" s="422"/>
      <c r="G4" s="422"/>
      <c r="H4" s="422"/>
      <c r="I4" s="422"/>
      <c r="J4" s="422"/>
      <c r="L4" s="424"/>
    </row>
    <row r="5" spans="1:12" ht="12.75" customHeight="1">
      <c r="A5" s="422"/>
      <c r="B5" s="422"/>
      <c r="C5" s="422"/>
      <c r="D5" s="422"/>
      <c r="E5" s="422"/>
      <c r="F5" s="422"/>
      <c r="G5" s="422"/>
      <c r="H5" s="422"/>
      <c r="I5" s="422"/>
      <c r="J5" s="422"/>
      <c r="L5" s="798"/>
    </row>
    <row r="6" spans="1:12">
      <c r="A6" s="422"/>
      <c r="B6" s="422"/>
      <c r="C6" s="422"/>
      <c r="D6" s="422"/>
      <c r="E6" s="422"/>
      <c r="F6" s="422"/>
      <c r="G6" s="422"/>
      <c r="H6" s="422"/>
      <c r="I6" s="422"/>
      <c r="J6" s="422"/>
      <c r="L6" s="798"/>
    </row>
    <row r="7" spans="1:12" ht="120" customHeight="1">
      <c r="A7" s="805" t="s">
        <v>2505</v>
      </c>
      <c r="B7" s="805"/>
      <c r="C7" s="805"/>
      <c r="D7" s="805"/>
      <c r="E7" s="805"/>
      <c r="F7" s="805"/>
      <c r="G7" s="805"/>
      <c r="H7" s="805"/>
      <c r="I7" s="805"/>
      <c r="J7" s="805"/>
      <c r="L7" s="798"/>
    </row>
    <row r="8" spans="1:12" ht="15" customHeight="1">
      <c r="A8" s="806" t="s">
        <v>2706</v>
      </c>
      <c r="B8" s="806"/>
      <c r="C8" s="806"/>
      <c r="D8" s="806"/>
      <c r="E8" s="806"/>
      <c r="F8" s="806"/>
      <c r="G8" s="806"/>
      <c r="H8" s="806"/>
      <c r="I8" s="806"/>
      <c r="J8" s="806"/>
      <c r="L8" s="798"/>
    </row>
    <row r="9" spans="1:12" ht="15" customHeight="1">
      <c r="A9" s="807" t="s">
        <v>2750</v>
      </c>
      <c r="B9" s="807"/>
      <c r="C9" s="807"/>
      <c r="D9" s="807"/>
      <c r="E9" s="807"/>
      <c r="F9" s="807"/>
      <c r="G9" s="807"/>
      <c r="H9" s="807"/>
      <c r="I9" s="807"/>
      <c r="J9" s="807"/>
      <c r="L9" s="798"/>
    </row>
    <row r="10" spans="1:12" ht="45" customHeight="1">
      <c r="A10" s="808"/>
      <c r="B10" s="808"/>
      <c r="C10" s="808"/>
      <c r="D10" s="808"/>
      <c r="E10" s="808"/>
      <c r="F10" s="808"/>
      <c r="G10" s="808"/>
      <c r="H10" s="808"/>
      <c r="I10" s="808"/>
      <c r="J10" s="808"/>
      <c r="L10" s="798"/>
    </row>
    <row r="11" spans="1:12" ht="15">
      <c r="A11" s="800" t="s">
        <v>2489</v>
      </c>
      <c r="B11" s="809"/>
      <c r="C11" s="809"/>
      <c r="D11" s="809"/>
      <c r="E11" s="809"/>
      <c r="F11" s="809"/>
      <c r="G11" s="809"/>
      <c r="H11" s="809"/>
      <c r="I11" s="809"/>
      <c r="J11" s="809"/>
      <c r="L11" s="798"/>
    </row>
    <row r="12" spans="1:12" ht="30" customHeight="1">
      <c r="A12" s="810" t="s">
        <v>2751</v>
      </c>
      <c r="B12" s="810"/>
      <c r="C12" s="810"/>
      <c r="D12" s="810"/>
      <c r="E12" s="810"/>
      <c r="F12" s="810"/>
      <c r="G12" s="810"/>
      <c r="H12" s="810"/>
      <c r="I12" s="810"/>
      <c r="J12" s="810"/>
      <c r="L12" s="798"/>
    </row>
    <row r="13" spans="1:12" ht="30" customHeight="1">
      <c r="A13" s="810" t="s">
        <v>2490</v>
      </c>
      <c r="B13" s="810"/>
      <c r="C13" s="810"/>
      <c r="D13" s="810"/>
      <c r="E13" s="810"/>
      <c r="F13" s="810"/>
      <c r="G13" s="810"/>
      <c r="H13" s="810"/>
      <c r="I13" s="810"/>
      <c r="J13" s="810"/>
      <c r="L13" s="798"/>
    </row>
    <row r="14" spans="1:12" ht="45" customHeight="1">
      <c r="A14" s="810" t="s">
        <v>2491</v>
      </c>
      <c r="B14" s="810"/>
      <c r="C14" s="810"/>
      <c r="D14" s="810"/>
      <c r="E14" s="810"/>
      <c r="F14" s="810"/>
      <c r="G14" s="810"/>
      <c r="H14" s="810"/>
      <c r="I14" s="810"/>
      <c r="J14" s="810"/>
      <c r="L14" s="798"/>
    </row>
    <row r="15" spans="1:12" ht="30" customHeight="1">
      <c r="A15" s="810" t="s">
        <v>2492</v>
      </c>
      <c r="B15" s="810"/>
      <c r="C15" s="810"/>
      <c r="D15" s="810"/>
      <c r="E15" s="810"/>
      <c r="F15" s="810"/>
      <c r="G15" s="810"/>
      <c r="H15" s="810"/>
      <c r="I15" s="810"/>
      <c r="J15" s="810"/>
      <c r="L15" s="798"/>
    </row>
    <row r="16" spans="1:12" ht="30" customHeight="1">
      <c r="A16" s="810" t="s">
        <v>2493</v>
      </c>
      <c r="B16" s="810"/>
      <c r="C16" s="810"/>
      <c r="D16" s="810"/>
      <c r="E16" s="810"/>
      <c r="F16" s="810"/>
      <c r="G16" s="810"/>
      <c r="H16" s="810"/>
      <c r="I16" s="810"/>
      <c r="J16" s="810"/>
      <c r="L16" s="798"/>
    </row>
    <row r="17" spans="1:12" ht="45" customHeight="1">
      <c r="A17" s="800"/>
      <c r="B17" s="801"/>
      <c r="C17" s="801"/>
      <c r="D17" s="801"/>
      <c r="E17" s="801"/>
      <c r="F17" s="801"/>
      <c r="G17" s="801"/>
      <c r="H17" s="801"/>
      <c r="I17" s="801"/>
      <c r="J17" s="801"/>
      <c r="L17" s="798"/>
    </row>
    <row r="18" spans="1:12" ht="45" customHeight="1">
      <c r="A18" s="795" t="s">
        <v>2752</v>
      </c>
      <c r="B18" s="795"/>
      <c r="C18" s="795"/>
      <c r="D18" s="795"/>
      <c r="E18" s="795"/>
      <c r="F18" s="795"/>
      <c r="G18" s="795"/>
      <c r="H18" s="795"/>
      <c r="I18" s="795"/>
      <c r="J18" s="795"/>
      <c r="L18" s="425"/>
    </row>
    <row r="19" spans="1:12" ht="34.5" customHeight="1">
      <c r="A19" s="796" t="str">
        <f>HYPERLINK("http://business.center.cz/business/sablony/s3-priznani-k-dani-z-prijmu-fyzickych-osob.aspx")</f>
        <v>http://business.center.cz/business/sablony/s3-priznani-k-dani-z-prijmu-fyzickych-osob.aspx</v>
      </c>
      <c r="B19" s="797"/>
      <c r="C19" s="797"/>
      <c r="D19" s="797"/>
      <c r="E19" s="797"/>
      <c r="F19" s="797"/>
      <c r="G19" s="797"/>
      <c r="H19" s="797"/>
      <c r="I19" s="797"/>
      <c r="J19" s="797"/>
      <c r="L19" s="798"/>
    </row>
    <row r="20" spans="1:12" ht="45" customHeight="1">
      <c r="A20" s="799"/>
      <c r="B20" s="799"/>
      <c r="C20" s="799"/>
      <c r="D20" s="799"/>
      <c r="E20" s="799"/>
      <c r="F20" s="799"/>
      <c r="G20" s="799"/>
      <c r="H20" s="799"/>
      <c r="I20" s="799"/>
      <c r="J20" s="799"/>
      <c r="L20" s="798"/>
    </row>
    <row r="21" spans="1:12" ht="30" customHeight="1">
      <c r="A21" s="800" t="s">
        <v>2753</v>
      </c>
      <c r="B21" s="801"/>
      <c r="C21" s="801"/>
      <c r="D21" s="801"/>
      <c r="E21" s="801"/>
      <c r="F21" s="801"/>
      <c r="G21" s="801"/>
      <c r="H21" s="801"/>
      <c r="I21" s="801"/>
      <c r="J21" s="801"/>
      <c r="L21" s="798"/>
    </row>
    <row r="22" spans="1:12" ht="15" customHeight="1">
      <c r="A22" s="802" t="s">
        <v>2754</v>
      </c>
      <c r="B22" s="802"/>
      <c r="C22" s="802"/>
      <c r="D22" s="802"/>
      <c r="E22" s="802"/>
      <c r="F22" s="802"/>
      <c r="G22" s="802"/>
      <c r="H22" s="802"/>
      <c r="I22" s="802"/>
      <c r="J22" s="802"/>
      <c r="L22" s="798"/>
    </row>
    <row r="23" spans="1:12" ht="15" customHeight="1">
      <c r="A23" s="802" t="s">
        <v>2755</v>
      </c>
      <c r="B23" s="802"/>
      <c r="C23" s="802"/>
      <c r="D23" s="802"/>
      <c r="E23" s="802"/>
      <c r="F23" s="802"/>
      <c r="G23" s="802"/>
      <c r="H23" s="802"/>
      <c r="I23" s="802"/>
      <c r="J23" s="802"/>
      <c r="L23" s="798"/>
    </row>
    <row r="24" spans="1:12" ht="12.75" customHeight="1">
      <c r="A24" s="803"/>
      <c r="B24" s="803"/>
      <c r="C24" s="803"/>
      <c r="D24" s="803"/>
      <c r="E24" s="803"/>
      <c r="F24" s="803"/>
      <c r="G24" s="803"/>
      <c r="H24" s="803"/>
      <c r="I24" s="803"/>
      <c r="J24" s="803"/>
      <c r="L24" s="798"/>
    </row>
    <row r="25" spans="1:12" ht="12.75" customHeight="1">
      <c r="A25" s="803"/>
      <c r="B25" s="803"/>
      <c r="C25" s="803"/>
      <c r="D25" s="803"/>
      <c r="E25" s="803"/>
      <c r="F25" s="803"/>
      <c r="G25" s="803"/>
      <c r="H25" s="803"/>
      <c r="I25" s="803"/>
      <c r="J25" s="803"/>
      <c r="L25" s="798"/>
    </row>
    <row r="26" spans="1:12" ht="12.75" customHeight="1">
      <c r="A26" s="803" t="s">
        <v>223</v>
      </c>
      <c r="B26" s="803"/>
      <c r="C26" s="803"/>
      <c r="D26" s="803"/>
      <c r="E26" s="803"/>
      <c r="F26" s="803"/>
      <c r="G26" s="803"/>
      <c r="H26" s="803"/>
      <c r="I26" s="803"/>
      <c r="J26" s="803"/>
      <c r="L26" s="798"/>
    </row>
    <row r="27" spans="1:12">
      <c r="A27" s="423"/>
      <c r="B27" s="423"/>
      <c r="C27" s="423"/>
      <c r="D27" s="423"/>
      <c r="E27" s="423"/>
      <c r="F27" s="423"/>
      <c r="G27" s="423"/>
      <c r="H27" s="423"/>
      <c r="I27" s="423"/>
      <c r="J27" s="423"/>
    </row>
    <row r="28" spans="1:12">
      <c r="A28" s="423"/>
      <c r="B28" s="423"/>
      <c r="C28" s="423"/>
      <c r="D28" s="423"/>
      <c r="E28" s="423"/>
      <c r="F28" s="423"/>
      <c r="G28" s="423"/>
      <c r="H28" s="423"/>
      <c r="I28" s="423"/>
      <c r="J28" s="423"/>
    </row>
    <row r="29" spans="1:12">
      <c r="A29" s="423"/>
      <c r="B29" s="423"/>
      <c r="C29" s="423"/>
      <c r="D29" s="423"/>
      <c r="E29" s="423"/>
      <c r="F29" s="423"/>
      <c r="G29" s="423"/>
      <c r="H29" s="423"/>
      <c r="I29" s="423"/>
      <c r="J29" s="423"/>
    </row>
    <row r="30" spans="1:12">
      <c r="A30" s="423"/>
      <c r="B30" s="423"/>
      <c r="C30" s="423"/>
      <c r="D30" s="423"/>
      <c r="E30" s="423"/>
      <c r="F30" s="423"/>
      <c r="G30" s="423"/>
      <c r="H30" s="423"/>
      <c r="I30" s="423"/>
      <c r="J30" s="423"/>
    </row>
    <row r="31" spans="1:12">
      <c r="A31" s="423"/>
      <c r="B31" s="423"/>
      <c r="C31" s="423"/>
      <c r="D31" s="423"/>
      <c r="E31" s="423"/>
      <c r="F31" s="423"/>
      <c r="G31" s="423"/>
      <c r="H31" s="423"/>
      <c r="I31" s="423"/>
      <c r="J31" s="423"/>
    </row>
    <row r="32" spans="1:12">
      <c r="A32" s="423"/>
      <c r="B32" s="423"/>
      <c r="C32" s="423"/>
      <c r="D32" s="423"/>
      <c r="E32" s="423"/>
      <c r="F32" s="423"/>
      <c r="G32" s="423"/>
      <c r="H32" s="423"/>
      <c r="I32" s="423"/>
      <c r="J32" s="423"/>
    </row>
    <row r="33" spans="1:10">
      <c r="A33" s="423"/>
      <c r="B33" s="423"/>
      <c r="C33" s="423"/>
      <c r="D33" s="423"/>
      <c r="E33" s="423"/>
      <c r="F33" s="423"/>
      <c r="G33" s="423"/>
      <c r="H33" s="423"/>
      <c r="I33" s="423"/>
      <c r="J33" s="423"/>
    </row>
    <row r="34" spans="1:10" s="423" customFormat="1"/>
    <row r="35" spans="1:10" s="423" customFormat="1"/>
    <row r="36" spans="1:10" s="423" customFormat="1"/>
    <row r="37" spans="1:10" s="423" customFormat="1"/>
    <row r="38" spans="1:10" s="423" customFormat="1"/>
    <row r="39" spans="1:10" s="423" customFormat="1"/>
    <row r="40" spans="1:10" s="423" customFormat="1"/>
    <row r="41" spans="1:10" s="423" customFormat="1"/>
    <row r="42" spans="1:10" s="423" customFormat="1"/>
    <row r="43" spans="1:10" s="423" customFormat="1"/>
    <row r="44" spans="1:10" s="423" customFormat="1"/>
    <row r="45" spans="1:10" s="423" customFormat="1"/>
    <row r="46" spans="1:10" s="423" customFormat="1"/>
    <row r="47" spans="1:10" s="423" customFormat="1"/>
    <row r="48" spans="1:10" s="423" customFormat="1"/>
    <row r="49" s="423" customFormat="1"/>
    <row r="50" s="423" customFormat="1"/>
    <row r="51" s="423" customFormat="1"/>
    <row r="52" s="423" customFormat="1"/>
    <row r="53" s="423" customFormat="1"/>
    <row r="54" s="423" customFormat="1"/>
    <row r="55" s="423" customFormat="1"/>
    <row r="56" s="423" customFormat="1"/>
    <row r="57" s="423" customFormat="1"/>
    <row r="58" s="423" customFormat="1"/>
    <row r="59" s="423" customFormat="1"/>
    <row r="60" s="423" customFormat="1"/>
    <row r="61" s="423" customFormat="1"/>
    <row r="62" s="423" customFormat="1"/>
    <row r="63" s="423" customFormat="1"/>
    <row r="64" s="423" customFormat="1"/>
    <row r="65" s="423" customFormat="1"/>
    <row r="66" s="423" customFormat="1"/>
    <row r="67" s="423" customFormat="1"/>
    <row r="68" s="423" customFormat="1"/>
    <row r="69" s="423" customFormat="1"/>
    <row r="70" s="423" customFormat="1"/>
    <row r="71" s="423" customFormat="1"/>
    <row r="72" s="423" customFormat="1"/>
    <row r="73" s="423" customFormat="1"/>
    <row r="74" s="423" customFormat="1"/>
    <row r="75" s="423" customFormat="1"/>
    <row r="76" s="423" customFormat="1"/>
    <row r="77" s="423" customFormat="1"/>
    <row r="78" s="423" customFormat="1"/>
    <row r="79" s="423" customFormat="1"/>
    <row r="80" s="423" customFormat="1"/>
    <row r="81" s="423" customFormat="1"/>
    <row r="82" s="423" customFormat="1"/>
    <row r="83" s="423" customFormat="1"/>
    <row r="84" s="423" customFormat="1"/>
    <row r="85" s="423" customFormat="1"/>
    <row r="86" s="423" customFormat="1"/>
    <row r="87" s="423" customFormat="1"/>
    <row r="88" s="423" customFormat="1"/>
    <row r="89" s="423" customFormat="1"/>
    <row r="90" s="423" customFormat="1"/>
    <row r="91" s="423" customFormat="1"/>
    <row r="92" s="423" customFormat="1"/>
    <row r="93" s="423" customFormat="1"/>
    <row r="94" s="423" customFormat="1"/>
    <row r="95" s="423" customFormat="1"/>
    <row r="96" s="423" customFormat="1"/>
    <row r="97" spans="1:1" s="423" customFormat="1" hidden="1">
      <c r="A97" s="426">
        <v>1</v>
      </c>
    </row>
    <row r="98" spans="1:1" s="423" customFormat="1" hidden="1">
      <c r="A98" s="426" t="s">
        <v>322</v>
      </c>
    </row>
    <row r="99" spans="1:1" s="423" customFormat="1"/>
    <row r="100" spans="1:1" s="423" customFormat="1"/>
    <row r="101" spans="1:1" s="423" customFormat="1"/>
    <row r="102" spans="1:1" s="423" customFormat="1"/>
    <row r="103" spans="1:1" s="423" customFormat="1"/>
    <row r="104" spans="1:1" s="423" customFormat="1"/>
    <row r="105" spans="1:1" s="423" customFormat="1"/>
    <row r="106" spans="1:1" s="423" customFormat="1"/>
    <row r="107" spans="1:1" s="423" customFormat="1"/>
    <row r="108" spans="1:1" s="423" customFormat="1"/>
    <row r="109" spans="1:1" s="423" customFormat="1"/>
    <row r="110" spans="1:1" s="423" customFormat="1"/>
    <row r="111" spans="1:1" s="423" customFormat="1"/>
    <row r="112" spans="1:1" s="423" customFormat="1"/>
    <row r="113" s="423" customFormat="1"/>
    <row r="114" s="423" customFormat="1"/>
    <row r="115" s="423" customFormat="1"/>
    <row r="116" s="423" customFormat="1"/>
    <row r="117" s="423" customFormat="1"/>
    <row r="118" s="423" customFormat="1"/>
    <row r="119" s="423" customFormat="1"/>
    <row r="120" s="423" customFormat="1"/>
    <row r="121" s="423" customFormat="1"/>
    <row r="122" s="423" customFormat="1"/>
    <row r="123" s="423" customFormat="1"/>
    <row r="124" s="423" customFormat="1"/>
    <row r="125" s="423" customFormat="1"/>
    <row r="126" s="423" customFormat="1"/>
    <row r="127" s="423" customFormat="1"/>
    <row r="128" s="423" customFormat="1"/>
    <row r="129" s="423" customFormat="1"/>
    <row r="130" s="423" customFormat="1"/>
    <row r="131" s="423" customFormat="1"/>
    <row r="132" s="423" customFormat="1"/>
    <row r="133" s="423" customFormat="1"/>
    <row r="134" s="423" customFormat="1"/>
    <row r="135" s="423" customFormat="1"/>
    <row r="136" s="423" customFormat="1"/>
    <row r="137" s="423" customFormat="1"/>
    <row r="138" s="423" customFormat="1"/>
    <row r="139" s="423" customFormat="1"/>
    <row r="140" s="423" customFormat="1"/>
    <row r="141" s="423" customFormat="1"/>
    <row r="142" s="423" customFormat="1"/>
    <row r="143" s="423" customFormat="1"/>
    <row r="144" s="423" customFormat="1"/>
    <row r="145" s="423" customFormat="1"/>
    <row r="146" s="423" customFormat="1"/>
    <row r="147" s="423" customFormat="1"/>
    <row r="148" s="423" customFormat="1"/>
    <row r="149" s="423" customFormat="1"/>
    <row r="150" s="423" customFormat="1"/>
    <row r="151" s="423" customFormat="1"/>
    <row r="152" s="423" customFormat="1"/>
    <row r="153" s="423" customFormat="1"/>
    <row r="154" s="423" customFormat="1"/>
    <row r="155" s="423" customFormat="1"/>
    <row r="156" s="423" customFormat="1"/>
    <row r="157" s="423" customFormat="1"/>
    <row r="158" s="423" customFormat="1"/>
    <row r="159" s="423" customFormat="1"/>
    <row r="160" s="423" customFormat="1"/>
    <row r="161" s="423" customFormat="1"/>
    <row r="162" s="423" customFormat="1"/>
    <row r="163" s="423" customFormat="1"/>
    <row r="164" s="423" customFormat="1"/>
    <row r="165" s="423" customFormat="1"/>
    <row r="166" s="423" customFormat="1"/>
    <row r="167" s="423" customFormat="1"/>
    <row r="168" s="423" customFormat="1"/>
    <row r="169" s="423" customFormat="1"/>
    <row r="170" s="423" customFormat="1"/>
    <row r="171" s="423" customFormat="1"/>
    <row r="172" s="423" customFormat="1"/>
    <row r="173" s="423" customFormat="1"/>
    <row r="174" s="423" customFormat="1"/>
  </sheetData>
  <sheetProtection algorithmName="SHA-512" hashValue="tcKlVGROle6fZvIdM/IGJLZ/PfgtmfNV0/0TkO33V7ZxeBkyC9o9h0v0ClLhsHMwQvCkyn2nHMxn5OWoCOvYGQ==" saltValue="Ngd/qNPoyPvTqzQZ3CET5w==" spinCount="100000" sheet="1" objects="1" scenarios="1"/>
  <mergeCells count="23">
    <mergeCell ref="L1:L3"/>
    <mergeCell ref="L5:L17"/>
    <mergeCell ref="A7:J7"/>
    <mergeCell ref="A8:J8"/>
    <mergeCell ref="A9:J9"/>
    <mergeCell ref="A10:J10"/>
    <mergeCell ref="A11:J11"/>
    <mergeCell ref="A12:J12"/>
    <mergeCell ref="A13:J13"/>
    <mergeCell ref="A14:J14"/>
    <mergeCell ref="A15:J15"/>
    <mergeCell ref="A16:J16"/>
    <mergeCell ref="A17:J17"/>
    <mergeCell ref="A18:J18"/>
    <mergeCell ref="A19:J19"/>
    <mergeCell ref="L19:L26"/>
    <mergeCell ref="A20:J20"/>
    <mergeCell ref="A21:J21"/>
    <mergeCell ref="A22:J22"/>
    <mergeCell ref="A23:J23"/>
    <mergeCell ref="A24:J24"/>
    <mergeCell ref="A25:J25"/>
    <mergeCell ref="A26:J26"/>
  </mergeCells>
  <printOptions horizontalCentered="1" verticalCentered="1"/>
  <pageMargins left="0.19685039370078741" right="0.19685039370078741" top="0.39370078740157483" bottom="0.19685039370078741"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0">
    <pageSetUpPr fitToPage="1"/>
  </sheetPr>
  <dimension ref="A1:AC183"/>
  <sheetViews>
    <sheetView workbookViewId="0">
      <pane xSplit="1" ySplit="8" topLeftCell="B9" activePane="bottomRight" state="frozen"/>
      <selection pane="topRight" activeCell="B1" sqref="B1"/>
      <selection pane="bottomLeft" activeCell="A9" sqref="A9"/>
      <selection pane="bottomRight" activeCell="E10" sqref="E10"/>
    </sheetView>
  </sheetViews>
  <sheetFormatPr defaultColWidth="9.140625" defaultRowHeight="12.75"/>
  <cols>
    <col min="1" max="1" width="24" style="423" customWidth="1"/>
    <col min="2" max="5" width="18.7109375" style="423" customWidth="1"/>
    <col min="6" max="6" width="11.42578125" style="546" bestFit="1" customWidth="1"/>
    <col min="7" max="28" width="9.140625" style="546"/>
    <col min="29" max="16384" width="9.140625" style="423"/>
  </cols>
  <sheetData>
    <row r="1" spans="1:29" ht="18" customHeight="1">
      <c r="A1" s="2545" t="s">
        <v>2723</v>
      </c>
      <c r="B1" s="2546"/>
      <c r="C1" s="2546"/>
      <c r="D1" s="2546"/>
      <c r="E1" s="2546"/>
      <c r="F1" s="545"/>
      <c r="G1" s="545"/>
    </row>
    <row r="2" spans="1:29" ht="8.1" customHeight="1" thickBot="1">
      <c r="A2" s="2545"/>
      <c r="B2" s="2546"/>
      <c r="C2" s="2546"/>
      <c r="D2" s="2546"/>
      <c r="E2" s="2546"/>
      <c r="F2" s="545"/>
      <c r="G2" s="545"/>
    </row>
    <row r="3" spans="1:29" ht="18" customHeight="1">
      <c r="A3" s="2547" t="s">
        <v>2578</v>
      </c>
      <c r="B3" s="2548"/>
      <c r="C3" s="2549" t="str">
        <f>+CONCATENATE(ZAKL_DATA!B5," ",ZAKL_DATA!B4," ",ZAKL_DATA!B7)</f>
        <v xml:space="preserve">  </v>
      </c>
      <c r="D3" s="2550"/>
      <c r="E3" s="2551"/>
      <c r="F3" s="545"/>
      <c r="H3" s="545"/>
      <c r="AC3" s="546"/>
    </row>
    <row r="4" spans="1:29" ht="18" customHeight="1">
      <c r="A4" s="2552" t="s">
        <v>2301</v>
      </c>
      <c r="B4" s="2553"/>
      <c r="C4" s="2554">
        <f>+'DAP3'!D30</f>
        <v>0</v>
      </c>
      <c r="D4" s="2553"/>
      <c r="E4" s="2555"/>
      <c r="F4" s="545"/>
      <c r="H4" s="545"/>
      <c r="AC4" s="546"/>
    </row>
    <row r="5" spans="1:29" ht="18" customHeight="1">
      <c r="A5" s="2552" t="s">
        <v>2579</v>
      </c>
      <c r="B5" s="2553"/>
      <c r="C5" s="2556">
        <f>+C4</f>
        <v>0</v>
      </c>
      <c r="D5" s="2553"/>
      <c r="E5" s="2555"/>
      <c r="F5" s="545"/>
      <c r="G5" s="545"/>
      <c r="H5" s="545"/>
      <c r="AC5" s="546"/>
    </row>
    <row r="6" spans="1:29" ht="18" customHeight="1" thickBot="1">
      <c r="A6" s="2557" t="s">
        <v>2580</v>
      </c>
      <c r="B6" s="2558"/>
      <c r="C6" s="2559">
        <f>IF(OR(EXACT((LEFT(+'DAP1'!J17,1)),A60),EXACT((LEFT(+'DAP1'!J19,1)),A60)),+DATE(+'DAP1'!F24+1,6,30),DATE('DAP1'!F24+1,3,31))+1</f>
        <v>46113</v>
      </c>
      <c r="D6" s="2560"/>
      <c r="E6" s="2561"/>
      <c r="F6" s="545"/>
      <c r="G6" s="2562" t="s">
        <v>2581</v>
      </c>
      <c r="H6" s="545"/>
      <c r="AC6" s="546"/>
    </row>
    <row r="7" spans="1:29" ht="8.1" customHeight="1" thickBot="1">
      <c r="A7" s="2545"/>
      <c r="B7" s="2546"/>
      <c r="C7" s="2546"/>
      <c r="D7" s="2546"/>
      <c r="E7" s="2546"/>
      <c r="F7" s="545"/>
      <c r="G7" s="2563"/>
    </row>
    <row r="8" spans="1:29" ht="27" customHeight="1">
      <c r="A8" s="547" t="s">
        <v>2582</v>
      </c>
      <c r="B8" s="548" t="s">
        <v>2583</v>
      </c>
      <c r="C8" s="548" t="s">
        <v>2584</v>
      </c>
      <c r="D8" s="549" t="s">
        <v>2585</v>
      </c>
      <c r="E8" s="550" t="s">
        <v>2586</v>
      </c>
      <c r="F8" s="551"/>
      <c r="G8" s="552" t="s">
        <v>2587</v>
      </c>
    </row>
    <row r="9" spans="1:29" ht="15.95" customHeight="1">
      <c r="A9" s="553">
        <f>+C6</f>
        <v>46113</v>
      </c>
      <c r="B9" s="554">
        <f>+'DAP3'!D48</f>
        <v>0</v>
      </c>
      <c r="C9" s="554">
        <v>0</v>
      </c>
      <c r="D9" s="555">
        <v>0</v>
      </c>
      <c r="E9" s="556">
        <v>0</v>
      </c>
      <c r="G9" s="557" t="str">
        <f t="shared" ref="G9:G43" si="0">+IF(+ABS(B9)+ABS(C9)+ABS(D9)+ABS(E9)=0,"NE","ANO")</f>
        <v>NE</v>
      </c>
    </row>
    <row r="10" spans="1:29" ht="27.95" customHeight="1">
      <c r="A10" s="558" t="s">
        <v>2588</v>
      </c>
      <c r="B10" s="554">
        <v>0</v>
      </c>
      <c r="C10" s="554">
        <f>+'SP1'!H68</f>
        <v>57098</v>
      </c>
      <c r="D10" s="554">
        <v>0</v>
      </c>
      <c r="E10" s="556">
        <f>IF(OR(EXACT(+VZP!BK3,"X"),EXACT(VZP!BK3,"x"),EXACT('Ostatní ZP'!BK3,"X"),EXACT('Ostatní ZP'!BK3,"x")),-'Ostatní ZP'!AU38,-VZP!AU38)</f>
        <v>37712</v>
      </c>
      <c r="G10" s="557" t="str">
        <f t="shared" si="0"/>
        <v>ANO</v>
      </c>
    </row>
    <row r="11" spans="1:29" ht="15.95" customHeight="1">
      <c r="A11" s="553">
        <f>CONCATENATE("7.",IF(MONTH(A9)&lt;12,MONTH(A9)+1,MONTH(A9)-11),".",IF(MONTH(A9)&gt;11,YEAR(A9)+1,YEAR(A9)))+1</f>
        <v>46150</v>
      </c>
      <c r="B11" s="554">
        <v>0</v>
      </c>
      <c r="C11" s="554">
        <v>0</v>
      </c>
      <c r="D11" s="555">
        <v>0</v>
      </c>
      <c r="E11" s="556">
        <f>IF(OR(EXACT(+VZP!BK3,"X"),EXACT(VZP!BK3,"x"),EXACT('Ostatní ZP'!BK3,"X"),EXACT('Ostatní ZP'!BK3,"x")),'Ostatní ZP'!AX54,VZP!AX54)</f>
        <v>3306</v>
      </c>
      <c r="G11" s="557" t="str">
        <f t="shared" si="0"/>
        <v>ANO</v>
      </c>
    </row>
    <row r="12" spans="1:29" ht="15.95" customHeight="1">
      <c r="A12" s="553">
        <f>CONCATENATE("1.",IF(MONTH(A11)&lt;12,MONTH(A11)+1,MONTH(A11)-11),".",IF(MONTH(A11)&gt;11,YEAR(A11)+1,YEAR(A11)))-1</f>
        <v>46173</v>
      </c>
      <c r="B12" s="554">
        <v>0</v>
      </c>
      <c r="C12" s="554">
        <f>+'SP2'!S11</f>
        <v>5720</v>
      </c>
      <c r="D12" s="555">
        <f>+'SP2'!AH11</f>
        <v>440</v>
      </c>
      <c r="E12" s="556">
        <v>0</v>
      </c>
      <c r="G12" s="557" t="str">
        <f t="shared" si="0"/>
        <v>ANO</v>
      </c>
    </row>
    <row r="13" spans="1:29" ht="15.95" customHeight="1">
      <c r="A13" s="553">
        <f>CONCATENATE("7.",IF(MONTH(A11)&lt;12,MONTH(A11)+1,MONTH(A11)-11),".",IF(MONTH(A11)&gt;11,YEAR(A11)+1,YEAR(A11)))+1</f>
        <v>46181</v>
      </c>
      <c r="B13" s="554">
        <v>0</v>
      </c>
      <c r="C13" s="554">
        <v>0</v>
      </c>
      <c r="D13" s="554">
        <v>0</v>
      </c>
      <c r="E13" s="556">
        <f>E11</f>
        <v>3306</v>
      </c>
      <c r="G13" s="557" t="str">
        <f t="shared" si="0"/>
        <v>ANO</v>
      </c>
    </row>
    <row r="14" spans="1:29" ht="15.95" customHeight="1">
      <c r="A14" s="553">
        <f>CONCATENATE("14.",IF(OR(MONTH(A9)=4,MONTH(A9)=7),MONTH(A9)+2,MONTH(A9)+1),".",IF(MONTH(A9)&gt;9,YEAR(A9)+1,YEAR(A9)))+1</f>
        <v>46188</v>
      </c>
      <c r="B14" s="554">
        <f>CEILING(IF(OR(MONTH($C$6)=5,MONTH($C$6)=4),+IF($C$5&gt;150000,INT($C$5/4/100+0.99)*100,0)+IF($C$5&gt;30000,INT($C$5*0.4/100+0.99)*100,0)*IF($C$5&gt;150000,0,1),+IF($C$5&gt;150000,INT($C$5/4/100+0.99)*100,0))*A100,100)</f>
        <v>0</v>
      </c>
      <c r="C14" s="554">
        <v>0</v>
      </c>
      <c r="D14" s="554">
        <v>0</v>
      </c>
      <c r="E14" s="556">
        <v>0</v>
      </c>
      <c r="G14" s="557" t="str">
        <f t="shared" si="0"/>
        <v>NE</v>
      </c>
    </row>
    <row r="15" spans="1:29" ht="15.95" customHeight="1">
      <c r="A15" s="553">
        <f>CONCATENATE("1.",IF(MONTH(A14)&lt;12,MONTH(A14)+1,MONTH(A14)-11),".",IF(MONTH(A14)&gt;11,YEAR(A14)+1,YEAR(A14)))-1</f>
        <v>46203</v>
      </c>
      <c r="B15" s="554">
        <v>0</v>
      </c>
      <c r="C15" s="554">
        <f>+C12</f>
        <v>5720</v>
      </c>
      <c r="D15" s="554">
        <f>+D12</f>
        <v>440</v>
      </c>
      <c r="E15" s="556">
        <v>0</v>
      </c>
      <c r="G15" s="557" t="str">
        <f t="shared" si="0"/>
        <v>ANO</v>
      </c>
    </row>
    <row r="16" spans="1:29" ht="15.95" customHeight="1">
      <c r="A16" s="553">
        <f>CONCATENATE("7.",IF(MONTH(A14)&lt;12,MONTH(A14)+1,MONTH(A14)-11),".",IF(MONTH(A14)&gt;11,YEAR(A14)+1,YEAR(A14)))+1</f>
        <v>46211</v>
      </c>
      <c r="B16" s="554">
        <v>0</v>
      </c>
      <c r="C16" s="554">
        <v>0</v>
      </c>
      <c r="D16" s="554">
        <v>0</v>
      </c>
      <c r="E16" s="556">
        <f>+E13</f>
        <v>3306</v>
      </c>
      <c r="G16" s="557" t="str">
        <f t="shared" si="0"/>
        <v>ANO</v>
      </c>
    </row>
    <row r="17" spans="1:7" ht="15.95" customHeight="1">
      <c r="A17" s="553">
        <f>CONCATENATE("1.",IF(MONTH(A16)&lt;12,MONTH(A16)+1,MONTH(A16)-11),".",IF(MONTH(A16)&gt;11,YEAR(A16)+1,YEAR(A16)))-1</f>
        <v>46234</v>
      </c>
      <c r="B17" s="554">
        <v>0</v>
      </c>
      <c r="C17" s="554">
        <f>+C15</f>
        <v>5720</v>
      </c>
      <c r="D17" s="554">
        <f>+D15</f>
        <v>440</v>
      </c>
      <c r="E17" s="556">
        <v>0</v>
      </c>
      <c r="G17" s="557" t="str">
        <f t="shared" si="0"/>
        <v>ANO</v>
      </c>
    </row>
    <row r="18" spans="1:7" ht="15.95" customHeight="1">
      <c r="A18" s="553">
        <f>CONCATENATE("7.",IF(MONTH(A16)&lt;12,MONTH(A16)+1,MONTH(A16)-11),".",IF(MONTH(A16)&gt;11,YEAR(A16)+1,YEAR(A16)))+1</f>
        <v>46242</v>
      </c>
      <c r="B18" s="554">
        <v>0</v>
      </c>
      <c r="C18" s="554">
        <v>0</v>
      </c>
      <c r="D18" s="554">
        <v>0</v>
      </c>
      <c r="E18" s="556">
        <f>E16</f>
        <v>3306</v>
      </c>
      <c r="G18" s="557" t="str">
        <f t="shared" si="0"/>
        <v>ANO</v>
      </c>
    </row>
    <row r="19" spans="1:7" ht="15.95" customHeight="1">
      <c r="A19" s="553">
        <f>CONCATENATE("1.",IF(MONTH(A18)&lt;12,MONTH(A18)+1,MONTH(A18)-11),".",IF(MONTH(A18)&gt;11,YEAR(A18)+1,YEAR(A18)))-1</f>
        <v>46265</v>
      </c>
      <c r="B19" s="554">
        <v>0</v>
      </c>
      <c r="C19" s="554">
        <f>+C17</f>
        <v>5720</v>
      </c>
      <c r="D19" s="554">
        <f>+D17</f>
        <v>440</v>
      </c>
      <c r="E19" s="556">
        <v>0</v>
      </c>
      <c r="G19" s="557" t="str">
        <f t="shared" si="0"/>
        <v>ANO</v>
      </c>
    </row>
    <row r="20" spans="1:7" ht="15.95" customHeight="1">
      <c r="A20" s="553">
        <f>CONCATENATE("7.",IF(MONTH(A18)&lt;12,MONTH(A18)+1,MONTH(A18)-11),".",IF(MONTH(A18)&gt;11,YEAR(A18)+1,YEAR(A18)))+1</f>
        <v>46273</v>
      </c>
      <c r="B20" s="554">
        <v>0</v>
      </c>
      <c r="C20" s="554">
        <v>0</v>
      </c>
      <c r="D20" s="554">
        <v>0</v>
      </c>
      <c r="E20" s="556">
        <f>+E18</f>
        <v>3306</v>
      </c>
      <c r="G20" s="557" t="str">
        <f t="shared" si="0"/>
        <v>ANO</v>
      </c>
    </row>
    <row r="21" spans="1:7" ht="15.95" customHeight="1">
      <c r="A21" s="559">
        <f>CONCATENATE("14.",IF(MONTH(A14)&gt;9,MONTH(A14)-9,MONTH(A14)+3),".",IF(MONTH(A14)&gt;9,YEAR(A14)+1,YEAR(A14)))+1</f>
        <v>46280</v>
      </c>
      <c r="B21" s="554">
        <f>CEILING(IF(OR(MONTH($C$6)=7),+IF($C$5&gt;150000,INT($C$5/4/100+0.99)*100,0)+IF($C$5&gt;30000,INT($C$5*0.4/100+0.99)*100,0)*IF($C$5&gt;150000,0,1),+IF($C$5&gt;150000,INT($C$5/4/100+0.99)*100,0))*A100,100)</f>
        <v>0</v>
      </c>
      <c r="C21" s="554">
        <v>0</v>
      </c>
      <c r="D21" s="554">
        <v>0</v>
      </c>
      <c r="E21" s="556">
        <v>0</v>
      </c>
      <c r="G21" s="557" t="str">
        <f t="shared" si="0"/>
        <v>NE</v>
      </c>
    </row>
    <row r="22" spans="1:7" ht="15.95" customHeight="1">
      <c r="A22" s="553">
        <f>CONCATENATE("1.",IF(MONTH(A21)&lt;12,MONTH(A21)+1,MONTH(A21)-11),".",IF(MONTH(A21)&gt;11,YEAR(A21)+1,YEAR(A21)))-1</f>
        <v>46295</v>
      </c>
      <c r="B22" s="554">
        <v>0</v>
      </c>
      <c r="C22" s="554">
        <f>+C19</f>
        <v>5720</v>
      </c>
      <c r="D22" s="554">
        <f>+D19</f>
        <v>440</v>
      </c>
      <c r="E22" s="556">
        <v>0</v>
      </c>
      <c r="G22" s="557" t="str">
        <f t="shared" si="0"/>
        <v>ANO</v>
      </c>
    </row>
    <row r="23" spans="1:7" ht="15.95" customHeight="1">
      <c r="A23" s="553">
        <f>CONCATENATE("7.",IF(MONTH(A21)&lt;12,MONTH(A21)+1,MONTH(A21)-11),".",IF(MONTH(A21)&gt;11,YEAR(A21)+1,YEAR(A21)))+1</f>
        <v>46303</v>
      </c>
      <c r="B23" s="554">
        <v>0</v>
      </c>
      <c r="C23" s="554">
        <v>0</v>
      </c>
      <c r="D23" s="554">
        <v>0</v>
      </c>
      <c r="E23" s="556">
        <f>E20</f>
        <v>3306</v>
      </c>
      <c r="G23" s="557" t="str">
        <f t="shared" si="0"/>
        <v>ANO</v>
      </c>
    </row>
    <row r="24" spans="1:7" ht="15.95" customHeight="1">
      <c r="A24" s="553">
        <f>CONCATENATE("1.",IF(MONTH(A23)&lt;12,MONTH(A23)+1,MONTH(A23)-11),".",IF(MONTH(A23)&gt;11,YEAR(A23)+1,YEAR(A23)))-1</f>
        <v>46326</v>
      </c>
      <c r="B24" s="554">
        <v>0</v>
      </c>
      <c r="C24" s="554">
        <f>+C22</f>
        <v>5720</v>
      </c>
      <c r="D24" s="554">
        <f>+D22</f>
        <v>440</v>
      </c>
      <c r="E24" s="556">
        <v>0</v>
      </c>
      <c r="G24" s="557" t="str">
        <f t="shared" si="0"/>
        <v>ANO</v>
      </c>
    </row>
    <row r="25" spans="1:7" ht="15.95" customHeight="1">
      <c r="A25" s="553">
        <f>CONCATENATE("7.",IF(MONTH(A23)&lt;12,MONTH(A23)+1,MONTH(A23)-11),".",IF(MONTH(A23)&gt;11,YEAR(A23)+1,YEAR(A23)))+1</f>
        <v>46334</v>
      </c>
      <c r="B25" s="554">
        <v>0</v>
      </c>
      <c r="C25" s="554">
        <v>0</v>
      </c>
      <c r="D25" s="554">
        <v>0</v>
      </c>
      <c r="E25" s="556">
        <f>E23</f>
        <v>3306</v>
      </c>
      <c r="G25" s="557" t="str">
        <f t="shared" si="0"/>
        <v>ANO</v>
      </c>
    </row>
    <row r="26" spans="1:7" ht="15.95" customHeight="1">
      <c r="A26" s="553">
        <f>CONCATENATE("1.",IF(MONTH(A25)&lt;12,MONTH(A25)+1,MONTH(A25)-11),".",IF(MONTH(A25)&gt;11,YEAR(A25)+1,YEAR(A25)))-1</f>
        <v>46356</v>
      </c>
      <c r="B26" s="554">
        <v>0</v>
      </c>
      <c r="C26" s="554">
        <f>+C24</f>
        <v>5720</v>
      </c>
      <c r="D26" s="554">
        <f>+D24</f>
        <v>440</v>
      </c>
      <c r="E26" s="556">
        <v>0</v>
      </c>
      <c r="G26" s="557" t="str">
        <f t="shared" si="0"/>
        <v>ANO</v>
      </c>
    </row>
    <row r="27" spans="1:7" ht="15.95" customHeight="1">
      <c r="A27" s="553">
        <f>CONCATENATE("7.",IF(MONTH(A25)&lt;12,MONTH(A25)+1,MONTH(A25)-11),".",IF(MONTH(A25)&gt;11,YEAR(A25)+1,YEAR(A25)))+1</f>
        <v>46364</v>
      </c>
      <c r="B27" s="554">
        <v>0</v>
      </c>
      <c r="C27" s="554">
        <v>0</v>
      </c>
      <c r="D27" s="554">
        <v>0</v>
      </c>
      <c r="E27" s="556">
        <f>E25</f>
        <v>3306</v>
      </c>
      <c r="G27" s="557" t="str">
        <f t="shared" si="0"/>
        <v>ANO</v>
      </c>
    </row>
    <row r="28" spans="1:7" ht="15.95" customHeight="1">
      <c r="A28" s="559">
        <f>CONCATENATE("14.",IF(MONTH(A21)&gt;9,MONTH(A21)-9,MONTH(A21)+3),".",IF(MONTH(A21)&gt;9,YEAR(A21)+1,YEAR(A21)))+1</f>
        <v>46371</v>
      </c>
      <c r="B28" s="554">
        <f>+B14</f>
        <v>0</v>
      </c>
      <c r="C28" s="554">
        <v>0</v>
      </c>
      <c r="D28" s="554">
        <v>0</v>
      </c>
      <c r="E28" s="556">
        <v>0</v>
      </c>
      <c r="G28" s="557" t="str">
        <f t="shared" si="0"/>
        <v>NE</v>
      </c>
    </row>
    <row r="29" spans="1:7" ht="15.95" customHeight="1">
      <c r="A29" s="553">
        <f>CONCATENATE("1.",IF(MONTH(A28)&lt;12,MONTH(A28)+1,MONTH(A28)-11),".",IF(MONTH(A28)&gt;11,YEAR(A28)+1,YEAR(A28)))-1</f>
        <v>46387</v>
      </c>
      <c r="B29" s="554">
        <v>0</v>
      </c>
      <c r="C29" s="554">
        <f>+C26</f>
        <v>5720</v>
      </c>
      <c r="D29" s="554">
        <f>+D26</f>
        <v>440</v>
      </c>
      <c r="E29" s="556">
        <v>0</v>
      </c>
      <c r="G29" s="557" t="str">
        <f t="shared" si="0"/>
        <v>ANO</v>
      </c>
    </row>
    <row r="30" spans="1:7" ht="15.95" customHeight="1">
      <c r="A30" s="553">
        <f>CONCATENATE("7.",IF(MONTH(A28)&lt;12,MONTH(A28)+1,MONTH(A28)-11),".",IF(MONTH(A28)&gt;11,YEAR(A28)+1,YEAR(A28)))+1</f>
        <v>46395</v>
      </c>
      <c r="B30" s="560">
        <v>0</v>
      </c>
      <c r="C30" s="554">
        <v>0</v>
      </c>
      <c r="D30" s="554">
        <v>0</v>
      </c>
      <c r="E30" s="556">
        <f>E27</f>
        <v>3306</v>
      </c>
      <c r="G30" s="557" t="str">
        <f t="shared" si="0"/>
        <v>ANO</v>
      </c>
    </row>
    <row r="31" spans="1:7" ht="15.95" customHeight="1">
      <c r="A31" s="553">
        <f>CONCATENATE("1.",IF(MONTH(A30)&lt;12,MONTH(A30)+1,MONTH(A30)-11),".",IF(MONTH(A30)&gt;11,YEAR(A30)+1,YEAR(A30)))-1</f>
        <v>46418</v>
      </c>
      <c r="B31" s="560">
        <v>0</v>
      </c>
      <c r="C31" s="554">
        <f>+C29</f>
        <v>5720</v>
      </c>
      <c r="D31" s="554">
        <f>+D29</f>
        <v>440</v>
      </c>
      <c r="E31" s="556">
        <v>0</v>
      </c>
      <c r="G31" s="557" t="str">
        <f t="shared" si="0"/>
        <v>ANO</v>
      </c>
    </row>
    <row r="32" spans="1:7" ht="15.95" customHeight="1">
      <c r="A32" s="553">
        <f>CONCATENATE("7.",IF(MONTH(A30)&lt;12,MONTH(A30)+1,MONTH(A30)-11),".",IF(MONTH(A30)&gt;11,YEAR(A30)+1,YEAR(A30)))+1</f>
        <v>46426</v>
      </c>
      <c r="B32" s="560">
        <v>0</v>
      </c>
      <c r="C32" s="554">
        <v>0</v>
      </c>
      <c r="D32" s="554">
        <v>0</v>
      </c>
      <c r="E32" s="556">
        <f>E30</f>
        <v>3306</v>
      </c>
      <c r="G32" s="557" t="str">
        <f t="shared" si="0"/>
        <v>ANO</v>
      </c>
    </row>
    <row r="33" spans="1:7" ht="15.95" customHeight="1">
      <c r="A33" s="553">
        <f>CONCATENATE("1.",IF(MONTH(A32)&lt;12,MONTH(A32)+1,MONTH(A32)-11),".",IF(MONTH(A32)&gt;11,YEAR(A32)+1,YEAR(A32)))-1</f>
        <v>46446</v>
      </c>
      <c r="B33" s="560">
        <v>0</v>
      </c>
      <c r="C33" s="554">
        <f>+C31</f>
        <v>5720</v>
      </c>
      <c r="D33" s="554">
        <f>+D31</f>
        <v>440</v>
      </c>
      <c r="E33" s="556">
        <v>0</v>
      </c>
      <c r="G33" s="557" t="str">
        <f t="shared" si="0"/>
        <v>ANO</v>
      </c>
    </row>
    <row r="34" spans="1:7" ht="15.95" customHeight="1">
      <c r="A34" s="553">
        <f>CONCATENATE("7.",IF(MONTH(A32)&lt;12,MONTH(A32)+1,MONTH(A32)-11),".",IF(MONTH(A32)&gt;11,YEAR(A32)+1,YEAR(A32)))+1</f>
        <v>46454</v>
      </c>
      <c r="B34" s="560">
        <v>0</v>
      </c>
      <c r="C34" s="554">
        <v>0</v>
      </c>
      <c r="D34" s="554">
        <v>0</v>
      </c>
      <c r="E34" s="556">
        <f>E32</f>
        <v>3306</v>
      </c>
      <c r="G34" s="557" t="str">
        <f t="shared" si="0"/>
        <v>ANO</v>
      </c>
    </row>
    <row r="35" spans="1:7" ht="15.95" customHeight="1">
      <c r="A35" s="559">
        <f>CONCATENATE("14.",IF(MONTH(A28)&gt;9,MONTH(A28)-9,MONTH(A28)+3),".",IF(MONTH(A28)&gt;9,YEAR(A28)+1,YEAR(A28)))+1</f>
        <v>46461</v>
      </c>
      <c r="B35" s="554">
        <f>+B21</f>
        <v>0</v>
      </c>
      <c r="C35" s="554">
        <v>0</v>
      </c>
      <c r="D35" s="554">
        <v>0</v>
      </c>
      <c r="E35" s="556">
        <v>0</v>
      </c>
      <c r="G35" s="557" t="str">
        <f t="shared" si="0"/>
        <v>NE</v>
      </c>
    </row>
    <row r="36" spans="1:7" ht="15.95" customHeight="1">
      <c r="A36" s="553">
        <f>CONCATENATE("1.",IF(MONTH(A35)&lt;12,MONTH(A35)+1,MONTH(A35)-11),".",IF(MONTH(A35)&gt;11,YEAR(A35)+1,YEAR(A35)))-1</f>
        <v>46477</v>
      </c>
      <c r="B36" s="554">
        <v>0</v>
      </c>
      <c r="C36" s="554">
        <f>+C33</f>
        <v>5720</v>
      </c>
      <c r="D36" s="554">
        <f>+D33</f>
        <v>440</v>
      </c>
      <c r="E36" s="556">
        <v>0</v>
      </c>
      <c r="G36" s="557" t="str">
        <f t="shared" si="0"/>
        <v>ANO</v>
      </c>
    </row>
    <row r="37" spans="1:7" ht="15.95" customHeight="1">
      <c r="A37" s="553">
        <f>CONCATENATE("7.",IF(MONTH(A35)&lt;12,MONTH(A35)+1,MONTH(A35)-11),".",IF(MONTH(A35)&gt;11,YEAR(A35)+1,YEAR(A35)))+1</f>
        <v>46485</v>
      </c>
      <c r="B37" s="560">
        <v>0</v>
      </c>
      <c r="C37" s="554">
        <v>0</v>
      </c>
      <c r="D37" s="554">
        <v>0</v>
      </c>
      <c r="E37" s="556">
        <f>E34</f>
        <v>3306</v>
      </c>
      <c r="G37" s="557" t="str">
        <f t="shared" si="0"/>
        <v>ANO</v>
      </c>
    </row>
    <row r="38" spans="1:7" ht="15.95" customHeight="1">
      <c r="A38" s="553">
        <f>CONCATENATE("1.",IF(MONTH(A37)&lt;12,MONTH(A37)+1,MONTH(A37)-11),".",IF(MONTH(A37)&gt;11,YEAR(A37)+1,YEAR(A37)))-1</f>
        <v>46507</v>
      </c>
      <c r="B38" s="560">
        <v>0</v>
      </c>
      <c r="C38" s="554">
        <f>+C36</f>
        <v>5720</v>
      </c>
      <c r="D38" s="554">
        <f>+D36</f>
        <v>440</v>
      </c>
      <c r="E38" s="556">
        <v>0</v>
      </c>
      <c r="G38" s="557" t="str">
        <f t="shared" si="0"/>
        <v>ANO</v>
      </c>
    </row>
    <row r="39" spans="1:7" ht="15.95" customHeight="1">
      <c r="A39" s="553">
        <f>CONCATENATE("7.",IF(MONTH(A37)&lt;12,MONTH(A37)+1,MONTH(A37)-11),".",IF(MONTH(A37)&gt;11,YEAR(A37)+1,YEAR(A37)))+1</f>
        <v>46515</v>
      </c>
      <c r="B39" s="560">
        <v>0</v>
      </c>
      <c r="C39" s="554">
        <v>0</v>
      </c>
      <c r="D39" s="554">
        <v>0</v>
      </c>
      <c r="E39" s="556">
        <f>E37</f>
        <v>3306</v>
      </c>
      <c r="G39" s="557" t="str">
        <f t="shared" si="0"/>
        <v>ANO</v>
      </c>
    </row>
    <row r="40" spans="1:7" ht="15.95" customHeight="1">
      <c r="A40" s="553">
        <f>CONCATENATE("1.",IF(MONTH(A39)&lt;12,MONTH(A39)+1,MONTH(A39)-11),".",IF(MONTH(A39)&gt;11,YEAR(A39)+1,YEAR(A39)))-1</f>
        <v>46538</v>
      </c>
      <c r="B40" s="560">
        <v>0</v>
      </c>
      <c r="C40" s="554">
        <f>+C38</f>
        <v>5720</v>
      </c>
      <c r="D40" s="554">
        <f>+D38</f>
        <v>440</v>
      </c>
      <c r="E40" s="556">
        <v>0</v>
      </c>
      <c r="G40" s="557" t="str">
        <f t="shared" si="0"/>
        <v>ANO</v>
      </c>
    </row>
    <row r="41" spans="1:7" ht="15.95" customHeight="1">
      <c r="A41" s="553">
        <f>CONCATENATE("7.",IF(MONTH(A39)&lt;12,MONTH(A39)+1,MONTH(A39)-11),".",IF(MONTH(A39)&gt;11,YEAR(A39)+1,YEAR(A39)))+1</f>
        <v>46546</v>
      </c>
      <c r="B41" s="560">
        <v>0</v>
      </c>
      <c r="C41" s="554">
        <v>0</v>
      </c>
      <c r="D41" s="554">
        <v>0</v>
      </c>
      <c r="E41" s="556">
        <f>E39</f>
        <v>3306</v>
      </c>
      <c r="G41" s="557" t="str">
        <f t="shared" si="0"/>
        <v>ANO</v>
      </c>
    </row>
    <row r="42" spans="1:7" ht="15.95" customHeight="1">
      <c r="A42" s="559">
        <f>CONCATENATE("14.",IF(MONTH(A35)&gt;9,MONTH(A35)-9,MONTH(A35)+3),".",IF(MONTH(A35)&gt;9,YEAR(A35)+1,YEAR(A35)))+1</f>
        <v>46553</v>
      </c>
      <c r="B42" s="554">
        <f>+B28</f>
        <v>0</v>
      </c>
      <c r="C42" s="554">
        <v>0</v>
      </c>
      <c r="D42" s="554">
        <v>0</v>
      </c>
      <c r="E42" s="556">
        <v>0</v>
      </c>
      <c r="G42" s="557" t="str">
        <f t="shared" si="0"/>
        <v>NE</v>
      </c>
    </row>
    <row r="43" spans="1:7" ht="15.95" customHeight="1" thickBot="1">
      <c r="A43" s="561">
        <f>CONCATENATE("1.",IF(MONTH(A42)&lt;12,MONTH(A42)+1,MONTH(A42)-11),".",IF(MONTH(A42)&gt;11,YEAR(A42)+1,YEAR(A42)))-1</f>
        <v>46568</v>
      </c>
      <c r="B43" s="562">
        <v>0</v>
      </c>
      <c r="C43" s="563">
        <f>+C40</f>
        <v>5720</v>
      </c>
      <c r="D43" s="563">
        <f>+D40</f>
        <v>440</v>
      </c>
      <c r="E43" s="564">
        <v>0</v>
      </c>
      <c r="G43" s="557" t="str">
        <f t="shared" si="0"/>
        <v>ANO</v>
      </c>
    </row>
    <row r="44" spans="1:7" ht="21.95" customHeight="1">
      <c r="A44" s="2568" t="s">
        <v>2589</v>
      </c>
      <c r="B44" s="2568"/>
      <c r="C44" s="2569"/>
      <c r="D44" s="2569"/>
      <c r="E44" s="2569"/>
      <c r="G44" s="557" t="s">
        <v>2590</v>
      </c>
    </row>
    <row r="45" spans="1:7" ht="33" customHeight="1">
      <c r="A45" s="2568" t="s">
        <v>2591</v>
      </c>
      <c r="B45" s="2568"/>
      <c r="C45" s="2569"/>
      <c r="D45" s="2569"/>
      <c r="E45" s="2569"/>
      <c r="G45" s="557" t="s">
        <v>2590</v>
      </c>
    </row>
    <row r="46" spans="1:7" ht="21.95" customHeight="1">
      <c r="A46" s="2568" t="s">
        <v>2592</v>
      </c>
      <c r="B46" s="2568"/>
      <c r="C46" s="2569"/>
      <c r="D46" s="2569"/>
      <c r="E46" s="2569"/>
      <c r="G46" s="557" t="s">
        <v>2590</v>
      </c>
    </row>
    <row r="47" spans="1:7" ht="21.95" customHeight="1">
      <c r="A47" s="2568" t="s">
        <v>2593</v>
      </c>
      <c r="B47" s="2568"/>
      <c r="C47" s="2569"/>
      <c r="D47" s="2569"/>
      <c r="E47" s="2569"/>
      <c r="G47" s="557" t="s">
        <v>2590</v>
      </c>
    </row>
    <row r="48" spans="1:7" ht="21.95" customHeight="1">
      <c r="A48" s="2568" t="s">
        <v>2594</v>
      </c>
      <c r="B48" s="2568"/>
      <c r="C48" s="2569"/>
      <c r="D48" s="2569"/>
      <c r="E48" s="2569"/>
      <c r="G48" s="557" t="s">
        <v>2590</v>
      </c>
    </row>
    <row r="49" spans="1:7" ht="33" customHeight="1">
      <c r="A49" s="2570" t="s">
        <v>2595</v>
      </c>
      <c r="B49" s="2571"/>
      <c r="C49" s="2571"/>
      <c r="D49" s="2571"/>
      <c r="E49" s="2571"/>
      <c r="G49" s="557" t="s">
        <v>2590</v>
      </c>
    </row>
    <row r="50" spans="1:7" ht="15.95" customHeight="1">
      <c r="A50" s="2564" t="s">
        <v>2596</v>
      </c>
      <c r="B50" s="2564"/>
      <c r="C50" s="2565"/>
      <c r="D50" s="2565"/>
      <c r="E50" s="2565"/>
      <c r="G50" s="557" t="s">
        <v>2590</v>
      </c>
    </row>
    <row r="51" spans="1:7" ht="15.95" customHeight="1">
      <c r="A51" s="2566" t="str">
        <f>+'DAP1'!A46</f>
        <v>Formulář zpracovala ASPEKT HM, daňová, účetní a auditorská kancelář, www.danovapriznani.cz, business.center.cz</v>
      </c>
      <c r="B51" s="2567"/>
      <c r="C51" s="2567"/>
      <c r="D51" s="2567"/>
      <c r="E51" s="2567"/>
      <c r="G51" s="557" t="s">
        <v>2590</v>
      </c>
    </row>
    <row r="52" spans="1:7">
      <c r="A52" s="565"/>
      <c r="B52" s="546"/>
      <c r="C52" s="546"/>
      <c r="D52" s="546"/>
      <c r="E52" s="546"/>
    </row>
    <row r="53" spans="1:7">
      <c r="A53" s="565"/>
      <c r="B53" s="546"/>
      <c r="C53" s="546"/>
      <c r="D53" s="546"/>
      <c r="E53" s="546"/>
    </row>
    <row r="54" spans="1:7">
      <c r="A54" s="565"/>
      <c r="B54" s="546"/>
      <c r="C54" s="546"/>
      <c r="D54" s="546"/>
      <c r="E54" s="546"/>
    </row>
    <row r="55" spans="1:7">
      <c r="A55" s="546"/>
      <c r="B55" s="546"/>
      <c r="C55" s="546"/>
      <c r="D55" s="546"/>
      <c r="E55" s="546"/>
    </row>
    <row r="56" spans="1:7">
      <c r="A56" s="546"/>
      <c r="B56" s="546"/>
      <c r="C56" s="546"/>
      <c r="D56" s="546"/>
      <c r="E56" s="546"/>
    </row>
    <row r="57" spans="1:7">
      <c r="A57" s="546"/>
      <c r="B57" s="546"/>
      <c r="C57" s="546"/>
      <c r="D57" s="546"/>
      <c r="E57" s="546"/>
    </row>
    <row r="58" spans="1:7">
      <c r="A58" s="546"/>
      <c r="B58" s="546"/>
      <c r="C58" s="546"/>
      <c r="D58" s="546"/>
      <c r="E58" s="546"/>
    </row>
    <row r="59" spans="1:7">
      <c r="A59" s="546"/>
      <c r="B59" s="546"/>
      <c r="C59" s="546"/>
      <c r="D59" s="546"/>
      <c r="E59" s="546"/>
    </row>
    <row r="60" spans="1:7" hidden="1">
      <c r="A60" s="546" t="s">
        <v>234</v>
      </c>
      <c r="B60" s="546"/>
      <c r="C60" s="546"/>
      <c r="D60" s="546"/>
      <c r="E60" s="546"/>
    </row>
    <row r="61" spans="1:7">
      <c r="A61" s="546"/>
      <c r="B61" s="546"/>
      <c r="C61" s="546"/>
      <c r="D61" s="546"/>
      <c r="E61" s="546"/>
    </row>
    <row r="62" spans="1:7">
      <c r="A62" s="546"/>
      <c r="B62" s="546"/>
      <c r="C62" s="546"/>
      <c r="D62" s="546"/>
      <c r="E62" s="546"/>
    </row>
    <row r="63" spans="1:7">
      <c r="A63" s="546"/>
      <c r="B63" s="546"/>
      <c r="C63" s="546"/>
      <c r="D63" s="546"/>
      <c r="E63" s="546"/>
    </row>
    <row r="64" spans="1:7">
      <c r="A64" s="546"/>
      <c r="B64" s="546"/>
      <c r="C64" s="546"/>
      <c r="D64" s="546"/>
      <c r="E64" s="546"/>
    </row>
    <row r="65" spans="1:5">
      <c r="A65" s="546"/>
      <c r="B65" s="546"/>
      <c r="C65" s="546"/>
      <c r="D65" s="546"/>
      <c r="E65" s="546"/>
    </row>
    <row r="66" spans="1:5">
      <c r="A66" s="546"/>
      <c r="B66" s="546"/>
      <c r="C66" s="546"/>
      <c r="D66" s="546"/>
      <c r="E66" s="546"/>
    </row>
    <row r="67" spans="1:5">
      <c r="A67" s="546"/>
      <c r="B67" s="546"/>
      <c r="C67" s="546"/>
      <c r="D67" s="546"/>
      <c r="E67" s="546"/>
    </row>
    <row r="68" spans="1:5">
      <c r="A68" s="546"/>
      <c r="B68" s="546"/>
      <c r="C68" s="546"/>
      <c r="D68" s="546"/>
      <c r="E68" s="546"/>
    </row>
    <row r="69" spans="1:5">
      <c r="A69" s="546"/>
      <c r="B69" s="546"/>
      <c r="C69" s="546"/>
      <c r="D69" s="546"/>
      <c r="E69" s="546"/>
    </row>
    <row r="70" spans="1:5">
      <c r="A70" s="546"/>
      <c r="B70" s="546"/>
      <c r="C70" s="546"/>
      <c r="D70" s="546"/>
      <c r="E70" s="546"/>
    </row>
    <row r="71" spans="1:5">
      <c r="A71" s="546"/>
      <c r="B71" s="546"/>
      <c r="C71" s="546"/>
      <c r="D71" s="546"/>
      <c r="E71" s="546"/>
    </row>
    <row r="72" spans="1:5">
      <c r="A72" s="546"/>
      <c r="B72" s="546"/>
      <c r="C72" s="546"/>
      <c r="D72" s="546"/>
      <c r="E72" s="546"/>
    </row>
    <row r="73" spans="1:5">
      <c r="A73" s="546"/>
      <c r="B73" s="546"/>
      <c r="C73" s="546"/>
      <c r="D73" s="546"/>
      <c r="E73" s="546"/>
    </row>
    <row r="74" spans="1:5">
      <c r="A74" s="546"/>
      <c r="B74" s="546"/>
      <c r="C74" s="546"/>
      <c r="D74" s="546"/>
      <c r="E74" s="546"/>
    </row>
    <row r="75" spans="1:5">
      <c r="A75" s="546"/>
      <c r="B75" s="546"/>
      <c r="C75" s="546"/>
      <c r="D75" s="546"/>
      <c r="E75" s="546"/>
    </row>
    <row r="76" spans="1:5">
      <c r="A76" s="546"/>
      <c r="B76" s="546"/>
      <c r="C76" s="546"/>
      <c r="D76" s="546"/>
      <c r="E76" s="546"/>
    </row>
    <row r="77" spans="1:5">
      <c r="A77" s="546"/>
      <c r="B77" s="546"/>
      <c r="C77" s="546"/>
      <c r="D77" s="546"/>
      <c r="E77" s="546"/>
    </row>
    <row r="78" spans="1:5">
      <c r="A78" s="546"/>
      <c r="B78" s="546"/>
      <c r="C78" s="546"/>
      <c r="D78" s="546"/>
      <c r="E78" s="546"/>
    </row>
    <row r="79" spans="1:5">
      <c r="A79" s="546"/>
      <c r="B79" s="546"/>
      <c r="C79" s="546"/>
      <c r="D79" s="546"/>
      <c r="E79" s="546"/>
    </row>
    <row r="80" spans="1:5">
      <c r="A80" s="546"/>
      <c r="B80" s="546"/>
      <c r="C80" s="546"/>
      <c r="D80" s="546"/>
      <c r="E80" s="546"/>
    </row>
    <row r="81" spans="1:5">
      <c r="A81" s="546"/>
      <c r="B81" s="546"/>
      <c r="C81" s="546"/>
      <c r="D81" s="546"/>
      <c r="E81" s="546"/>
    </row>
    <row r="82" spans="1:5">
      <c r="A82" s="546"/>
      <c r="B82" s="546"/>
      <c r="C82" s="546"/>
      <c r="D82" s="546"/>
      <c r="E82" s="546"/>
    </row>
    <row r="83" spans="1:5">
      <c r="A83" s="546"/>
      <c r="B83" s="546"/>
      <c r="C83" s="546"/>
      <c r="D83" s="546"/>
      <c r="E83" s="546"/>
    </row>
    <row r="84" spans="1:5">
      <c r="A84" s="546"/>
      <c r="B84" s="546"/>
      <c r="C84" s="546"/>
      <c r="D84" s="546"/>
      <c r="E84" s="546"/>
    </row>
    <row r="85" spans="1:5">
      <c r="A85" s="546"/>
      <c r="B85" s="546"/>
      <c r="C85" s="546"/>
      <c r="D85" s="546"/>
      <c r="E85" s="546"/>
    </row>
    <row r="86" spans="1:5">
      <c r="A86" s="546"/>
      <c r="B86" s="546"/>
      <c r="C86" s="546"/>
      <c r="D86" s="546"/>
      <c r="E86" s="546"/>
    </row>
    <row r="87" spans="1:5">
      <c r="A87" s="546"/>
      <c r="B87" s="546"/>
      <c r="C87" s="546"/>
      <c r="D87" s="546"/>
      <c r="E87" s="546"/>
    </row>
    <row r="88" spans="1:5">
      <c r="A88" s="546"/>
      <c r="B88" s="546"/>
      <c r="C88" s="546"/>
      <c r="D88" s="546"/>
      <c r="E88" s="546"/>
    </row>
    <row r="89" spans="1:5">
      <c r="A89" s="546"/>
      <c r="B89" s="546"/>
      <c r="C89" s="546"/>
      <c r="D89" s="546"/>
      <c r="E89" s="546"/>
    </row>
    <row r="90" spans="1:5">
      <c r="A90" s="546"/>
      <c r="B90" s="546"/>
      <c r="C90" s="546"/>
      <c r="D90" s="546"/>
      <c r="E90" s="546"/>
    </row>
    <row r="91" spans="1:5">
      <c r="A91" s="546"/>
      <c r="B91" s="546"/>
      <c r="C91" s="546"/>
      <c r="D91" s="546"/>
      <c r="E91" s="546"/>
    </row>
    <row r="92" spans="1:5">
      <c r="A92" s="546"/>
      <c r="B92" s="546"/>
      <c r="C92" s="546"/>
      <c r="D92" s="546"/>
      <c r="E92" s="546"/>
    </row>
    <row r="93" spans="1:5">
      <c r="A93" s="546"/>
      <c r="B93" s="546"/>
      <c r="C93" s="546"/>
      <c r="D93" s="546"/>
      <c r="E93" s="546"/>
    </row>
    <row r="94" spans="1:5">
      <c r="A94" s="546"/>
      <c r="B94" s="546"/>
      <c r="C94" s="546"/>
      <c r="D94" s="546"/>
      <c r="E94" s="546"/>
    </row>
    <row r="95" spans="1:5">
      <c r="A95" s="546"/>
      <c r="B95" s="546"/>
      <c r="C95" s="546"/>
      <c r="D95" s="546"/>
      <c r="E95" s="546"/>
    </row>
    <row r="96" spans="1:5">
      <c r="A96" s="546"/>
      <c r="B96" s="546"/>
      <c r="C96" s="546"/>
      <c r="D96" s="546"/>
      <c r="E96" s="546"/>
    </row>
    <row r="97" spans="1:5">
      <c r="A97" s="546"/>
      <c r="B97" s="546"/>
      <c r="C97" s="546"/>
      <c r="D97" s="546"/>
      <c r="E97" s="546"/>
    </row>
    <row r="98" spans="1:5">
      <c r="A98" s="546"/>
      <c r="B98" s="546"/>
      <c r="C98" s="546"/>
      <c r="D98" s="546"/>
      <c r="E98" s="546"/>
    </row>
    <row r="99" spans="1:5">
      <c r="A99" s="546"/>
      <c r="B99" s="546"/>
      <c r="C99" s="546"/>
      <c r="D99" s="546"/>
      <c r="E99" s="546"/>
    </row>
    <row r="100" spans="1:5" hidden="1">
      <c r="A100" s="546">
        <f>+IF('DAP2'!E10&lt;0.5*'DAP2'!E16,+IF('DAP2'!E10/'DAP2'!E16&gt;0.15,0.5,1),0)</f>
        <v>0</v>
      </c>
      <c r="B100" s="546"/>
      <c r="C100" s="546"/>
      <c r="D100" s="546"/>
      <c r="E100" s="546"/>
    </row>
    <row r="101" spans="1:5">
      <c r="A101" s="546"/>
      <c r="B101" s="546"/>
      <c r="C101" s="546"/>
      <c r="D101" s="546"/>
      <c r="E101" s="546"/>
    </row>
    <row r="102" spans="1:5">
      <c r="A102" s="546"/>
      <c r="B102" s="546"/>
      <c r="C102" s="546"/>
      <c r="D102" s="546"/>
      <c r="E102" s="546"/>
    </row>
    <row r="103" spans="1:5">
      <c r="A103" s="546"/>
      <c r="B103" s="546"/>
      <c r="C103" s="546"/>
      <c r="D103" s="546"/>
      <c r="E103" s="546"/>
    </row>
    <row r="104" spans="1:5">
      <c r="A104" s="546"/>
      <c r="B104" s="546"/>
      <c r="C104" s="546"/>
      <c r="D104" s="546"/>
      <c r="E104" s="546"/>
    </row>
    <row r="105" spans="1:5">
      <c r="A105" s="546"/>
      <c r="B105" s="546"/>
      <c r="C105" s="546"/>
      <c r="D105" s="546"/>
      <c r="E105" s="546"/>
    </row>
    <row r="106" spans="1:5">
      <c r="A106" s="546"/>
      <c r="B106" s="546"/>
      <c r="C106" s="546"/>
      <c r="D106" s="546"/>
      <c r="E106" s="546"/>
    </row>
    <row r="107" spans="1:5">
      <c r="A107" s="546"/>
      <c r="B107" s="546"/>
      <c r="C107" s="546"/>
      <c r="D107" s="546"/>
      <c r="E107" s="546"/>
    </row>
    <row r="108" spans="1:5">
      <c r="A108" s="546"/>
      <c r="B108" s="546"/>
      <c r="C108" s="546"/>
      <c r="D108" s="546"/>
      <c r="E108" s="546"/>
    </row>
    <row r="109" spans="1:5">
      <c r="A109" s="546"/>
      <c r="B109" s="546"/>
      <c r="C109" s="546"/>
      <c r="D109" s="546"/>
      <c r="E109" s="546"/>
    </row>
    <row r="110" spans="1:5">
      <c r="A110" s="546"/>
      <c r="B110" s="546"/>
      <c r="C110" s="546"/>
      <c r="D110" s="546"/>
      <c r="E110" s="546"/>
    </row>
    <row r="111" spans="1:5">
      <c r="A111" s="546"/>
      <c r="B111" s="546"/>
      <c r="C111" s="546"/>
      <c r="D111" s="546"/>
      <c r="E111" s="546"/>
    </row>
    <row r="112" spans="1:5">
      <c r="A112" s="546"/>
      <c r="B112" s="546"/>
      <c r="C112" s="546"/>
      <c r="D112" s="546"/>
      <c r="E112" s="546"/>
    </row>
    <row r="113" spans="1:5">
      <c r="A113" s="546"/>
      <c r="B113" s="546"/>
      <c r="C113" s="546"/>
      <c r="D113" s="546"/>
      <c r="E113" s="546"/>
    </row>
    <row r="114" spans="1:5">
      <c r="A114" s="546"/>
      <c r="B114" s="546"/>
      <c r="C114" s="546"/>
      <c r="D114" s="546"/>
      <c r="E114" s="546"/>
    </row>
    <row r="115" spans="1:5">
      <c r="A115" s="546"/>
      <c r="B115" s="546"/>
      <c r="C115" s="546"/>
      <c r="D115" s="546"/>
      <c r="E115" s="546"/>
    </row>
    <row r="116" spans="1:5">
      <c r="A116" s="546"/>
      <c r="B116" s="546"/>
      <c r="C116" s="546"/>
      <c r="D116" s="546"/>
      <c r="E116" s="546"/>
    </row>
    <row r="117" spans="1:5">
      <c r="A117" s="546"/>
      <c r="B117" s="546"/>
      <c r="C117" s="546"/>
      <c r="D117" s="546"/>
      <c r="E117" s="546"/>
    </row>
    <row r="118" spans="1:5">
      <c r="A118" s="546"/>
      <c r="B118" s="546"/>
      <c r="C118" s="546"/>
      <c r="D118" s="546"/>
      <c r="E118" s="546"/>
    </row>
    <row r="119" spans="1:5">
      <c r="A119" s="546"/>
      <c r="B119" s="546"/>
      <c r="C119" s="546"/>
      <c r="D119" s="546"/>
      <c r="E119" s="546"/>
    </row>
    <row r="120" spans="1:5">
      <c r="A120" s="546"/>
      <c r="B120" s="546"/>
      <c r="C120" s="546"/>
      <c r="D120" s="546"/>
      <c r="E120" s="546"/>
    </row>
    <row r="121" spans="1:5">
      <c r="A121" s="546"/>
      <c r="B121" s="546"/>
      <c r="C121" s="546"/>
      <c r="D121" s="546"/>
      <c r="E121" s="546"/>
    </row>
    <row r="122" spans="1:5" s="546" customFormat="1"/>
    <row r="123" spans="1:5" s="546" customFormat="1"/>
    <row r="124" spans="1:5" s="546" customFormat="1"/>
    <row r="125" spans="1:5" s="546" customFormat="1"/>
    <row r="126" spans="1:5" s="546" customFormat="1"/>
    <row r="127" spans="1:5" s="546" customFormat="1"/>
    <row r="128" spans="1:5" s="546" customFormat="1"/>
    <row r="129" s="546" customFormat="1"/>
    <row r="130" s="546" customFormat="1"/>
    <row r="131" s="546" customFormat="1"/>
    <row r="132" s="546" customFormat="1"/>
    <row r="133" s="546" customFormat="1"/>
    <row r="134" s="546" customFormat="1"/>
    <row r="135" s="546" customFormat="1"/>
    <row r="136" s="546" customFormat="1"/>
    <row r="137" s="546" customFormat="1"/>
    <row r="138" s="546" customFormat="1"/>
    <row r="139" s="546" customFormat="1"/>
    <row r="140" s="546" customFormat="1"/>
    <row r="141" s="546" customFormat="1"/>
    <row r="142" s="546" customFormat="1"/>
    <row r="143" s="546" customFormat="1"/>
    <row r="144" s="546" customFormat="1"/>
    <row r="145" s="546" customFormat="1"/>
    <row r="146" s="546" customFormat="1"/>
    <row r="147" s="546" customFormat="1"/>
    <row r="148" s="546" customFormat="1"/>
    <row r="149" s="546" customFormat="1"/>
    <row r="150" s="546" customFormat="1"/>
    <row r="151" s="546" customFormat="1"/>
    <row r="152" s="546" customFormat="1"/>
    <row r="153" s="546" customFormat="1"/>
    <row r="154" s="546" customFormat="1"/>
    <row r="155" s="546" customFormat="1"/>
    <row r="156" s="546" customFormat="1"/>
    <row r="157" s="546" customFormat="1"/>
    <row r="158" s="546" customFormat="1"/>
    <row r="159" s="546" customFormat="1"/>
    <row r="160" s="546" customFormat="1"/>
    <row r="161" s="546" customFormat="1"/>
    <row r="162" s="546" customFormat="1"/>
    <row r="163" s="546" customFormat="1"/>
    <row r="164" s="546" customFormat="1"/>
    <row r="165" s="546" customFormat="1"/>
    <row r="166" s="546" customFormat="1"/>
    <row r="167" s="546" customFormat="1"/>
    <row r="168" s="546" customFormat="1"/>
    <row r="169" s="546" customFormat="1"/>
    <row r="170" s="546" customFormat="1"/>
    <row r="171" s="546" customFormat="1"/>
    <row r="172" s="546" customFormat="1"/>
    <row r="173" s="546" customFormat="1"/>
    <row r="174" s="546" customFormat="1"/>
    <row r="175" s="546" customFormat="1"/>
    <row r="176" s="546" customFormat="1"/>
    <row r="177" s="546" customFormat="1"/>
    <row r="178" s="546" customFormat="1"/>
    <row r="179" s="546" customFormat="1"/>
    <row r="180" s="546" customFormat="1"/>
    <row r="181" s="546" customFormat="1"/>
    <row r="182" s="546" customFormat="1"/>
    <row r="183" s="546" customFormat="1"/>
  </sheetData>
  <sheetProtection algorithmName="SHA-512" hashValue="psXG0DKlqJADwqjF8rj4wAWjmiHEkkIRFVaiSQzsaeDICcMSD7wTA7yaHP2Yg4Rs1PxtA899APuCgGAvUJ4B0Q==" saltValue="ZwFOW6pm+RPK7UphataV6Q==" spinCount="100000" sheet="1" autoFilter="0"/>
  <autoFilter ref="G8:G51" xr:uid="{00000000-0009-0000-0000-00001D000000}"/>
  <mergeCells count="20">
    <mergeCell ref="A50:E50"/>
    <mergeCell ref="A51:E51"/>
    <mergeCell ref="A44:E44"/>
    <mergeCell ref="A45:E45"/>
    <mergeCell ref="A46:E46"/>
    <mergeCell ref="A47:E47"/>
    <mergeCell ref="A48:E48"/>
    <mergeCell ref="A49:E49"/>
    <mergeCell ref="A5:B5"/>
    <mergeCell ref="C5:E5"/>
    <mergeCell ref="A6:B6"/>
    <mergeCell ref="C6:E6"/>
    <mergeCell ref="G6:G7"/>
    <mergeCell ref="A7:E7"/>
    <mergeCell ref="A1:E1"/>
    <mergeCell ref="A2:E2"/>
    <mergeCell ref="A3:B3"/>
    <mergeCell ref="C3:E3"/>
    <mergeCell ref="A4:B4"/>
    <mergeCell ref="C4:E4"/>
  </mergeCells>
  <printOptions horizontalCentered="1"/>
  <pageMargins left="0.39370078740157483" right="0.39370078740157483" top="0.39370078740157483" bottom="0.39370078740157483" header="0.51181102362204722" footer="0.51181102362204722"/>
  <pageSetup paperSize="9" scale="91"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1">
    <tabColor rgb="FFFFCCFF"/>
    <pageSetUpPr fitToPage="1"/>
  </sheetPr>
  <dimension ref="A1:BG552"/>
  <sheetViews>
    <sheetView workbookViewId="0">
      <selection activeCell="E4" sqref="E4"/>
    </sheetView>
  </sheetViews>
  <sheetFormatPr defaultColWidth="9.140625" defaultRowHeight="12.75"/>
  <cols>
    <col min="1" max="1" width="6.7109375" style="314" customWidth="1"/>
    <col min="2" max="2" width="36.5703125" style="314" customWidth="1"/>
    <col min="3" max="3" width="6.85546875" style="314" customWidth="1"/>
    <col min="4" max="7" width="9.140625" style="314"/>
    <col min="8" max="8" width="6.7109375" style="314" customWidth="1"/>
    <col min="9" max="9" width="36.5703125" style="314" customWidth="1"/>
    <col min="10" max="10" width="6.85546875" style="314" customWidth="1"/>
    <col min="11" max="12" width="9.140625" style="314"/>
    <col min="13" max="13" width="6.7109375" style="314" customWidth="1"/>
    <col min="14" max="59" width="9.140625" style="313"/>
    <col min="60" max="16384" width="9.140625" style="314"/>
  </cols>
  <sheetData>
    <row r="1" spans="1:13" ht="18">
      <c r="A1" s="429" t="s">
        <v>2231</v>
      </c>
      <c r="B1" s="430" t="s">
        <v>2495</v>
      </c>
      <c r="C1" s="431"/>
      <c r="D1" s="431"/>
      <c r="E1" s="431"/>
      <c r="F1" s="431"/>
      <c r="G1" s="431"/>
      <c r="H1" s="431"/>
      <c r="I1" s="431"/>
      <c r="J1" s="431"/>
      <c r="K1" s="431"/>
      <c r="L1" s="431"/>
      <c r="M1" s="431"/>
    </row>
    <row r="2" spans="1:13" ht="18">
      <c r="A2" s="431" t="s">
        <v>2232</v>
      </c>
      <c r="B2" s="430" t="s">
        <v>2724</v>
      </c>
      <c r="C2" s="431"/>
      <c r="D2" s="431"/>
      <c r="E2" s="431"/>
      <c r="F2" s="431"/>
      <c r="G2" s="431"/>
      <c r="H2" s="431"/>
      <c r="I2" s="431"/>
      <c r="J2" s="431"/>
      <c r="K2" s="431"/>
      <c r="L2" s="431"/>
      <c r="M2" s="431"/>
    </row>
    <row r="3" spans="1:13">
      <c r="A3" s="431" t="s">
        <v>2232</v>
      </c>
      <c r="B3" s="432" t="s">
        <v>2302</v>
      </c>
      <c r="C3" s="431"/>
      <c r="D3" s="431"/>
      <c r="E3" s="431"/>
      <c r="F3" s="431"/>
      <c r="G3" s="431"/>
      <c r="H3" s="431"/>
      <c r="I3" s="431"/>
      <c r="J3" s="431"/>
      <c r="K3" s="431"/>
      <c r="L3" s="431"/>
      <c r="M3" s="431"/>
    </row>
    <row r="4" spans="1:13">
      <c r="A4" s="431" t="s">
        <v>2232</v>
      </c>
      <c r="B4" s="433" t="s">
        <v>2496</v>
      </c>
      <c r="C4" s="431"/>
      <c r="D4" s="431"/>
      <c r="E4" s="431"/>
      <c r="F4" s="431"/>
      <c r="G4" s="431"/>
      <c r="H4" s="431"/>
      <c r="I4" s="431"/>
      <c r="J4" s="431"/>
      <c r="K4" s="431"/>
      <c r="L4" s="431"/>
      <c r="M4" s="431"/>
    </row>
    <row r="5" spans="1:13">
      <c r="A5" s="431" t="s">
        <v>2232</v>
      </c>
      <c r="B5" s="433" t="s">
        <v>2497</v>
      </c>
      <c r="C5" s="431"/>
      <c r="D5" s="431"/>
      <c r="E5" s="431"/>
      <c r="F5" s="431"/>
      <c r="G5" s="431"/>
      <c r="H5" s="431"/>
      <c r="I5" s="431"/>
      <c r="J5" s="431"/>
      <c r="K5" s="431"/>
      <c r="L5" s="431"/>
      <c r="M5" s="431"/>
    </row>
    <row r="6" spans="1:13" ht="13.5" thickBot="1">
      <c r="A6" s="431" t="s">
        <v>2232</v>
      </c>
      <c r="B6" s="431"/>
      <c r="C6" s="431"/>
      <c r="D6" s="431"/>
      <c r="E6" s="431"/>
      <c r="F6" s="431"/>
      <c r="G6" s="431"/>
      <c r="H6" s="431"/>
      <c r="I6" s="431"/>
      <c r="J6" s="431"/>
      <c r="K6" s="431"/>
      <c r="L6" s="431"/>
      <c r="M6" s="431"/>
    </row>
    <row r="7" spans="1:13" ht="25.5">
      <c r="A7" s="431" t="s">
        <v>2232</v>
      </c>
      <c r="B7" s="434" t="s">
        <v>2233</v>
      </c>
      <c r="C7" s="435"/>
      <c r="D7" s="435"/>
      <c r="E7" s="435"/>
      <c r="F7" s="435"/>
      <c r="G7" s="435"/>
      <c r="H7" s="435"/>
      <c r="I7" s="435"/>
      <c r="J7" s="435"/>
      <c r="K7" s="435"/>
      <c r="L7" s="436"/>
      <c r="M7" s="431"/>
    </row>
    <row r="8" spans="1:13" ht="0.75" customHeight="1" thickBot="1">
      <c r="A8" s="431" t="s">
        <v>2232</v>
      </c>
      <c r="B8" s="437"/>
      <c r="C8" s="438"/>
      <c r="D8" s="438"/>
      <c r="E8" s="438"/>
      <c r="F8" s="438"/>
      <c r="G8" s="438"/>
      <c r="H8" s="438"/>
      <c r="I8" s="438"/>
      <c r="J8" s="438"/>
      <c r="K8" s="438"/>
      <c r="L8" s="439"/>
      <c r="M8" s="431"/>
    </row>
    <row r="9" spans="1:13" ht="0.75" customHeight="1" thickBot="1">
      <c r="A9" s="431" t="s">
        <v>2232</v>
      </c>
      <c r="B9" s="440"/>
      <c r="C9" s="435"/>
      <c r="D9" s="435"/>
      <c r="E9" s="435"/>
      <c r="F9" s="435"/>
      <c r="G9" s="436"/>
      <c r="H9" s="441"/>
      <c r="I9" s="440"/>
      <c r="J9" s="435"/>
      <c r="K9" s="435"/>
      <c r="L9" s="436"/>
      <c r="M9" s="431"/>
    </row>
    <row r="10" spans="1:13" ht="20.25">
      <c r="A10" s="431" t="s">
        <v>2232</v>
      </c>
      <c r="B10" s="442" t="s">
        <v>2234</v>
      </c>
      <c r="C10" s="443"/>
      <c r="D10" s="443"/>
      <c r="E10" s="443"/>
      <c r="F10" s="443"/>
      <c r="G10" s="444"/>
      <c r="H10" s="445"/>
      <c r="I10" s="446" t="s">
        <v>2235</v>
      </c>
      <c r="J10" s="447"/>
      <c r="K10" s="447"/>
      <c r="L10" s="448"/>
      <c r="M10" s="431"/>
    </row>
    <row r="11" spans="1:13" ht="0.75" customHeight="1" thickBot="1">
      <c r="A11" s="431" t="s">
        <v>2232</v>
      </c>
      <c r="B11" s="449"/>
      <c r="C11" s="450"/>
      <c r="D11" s="450"/>
      <c r="E11" s="450"/>
      <c r="F11" s="450"/>
      <c r="G11" s="451"/>
      <c r="H11" s="431"/>
      <c r="I11" s="452"/>
      <c r="J11" s="453"/>
      <c r="K11" s="453"/>
      <c r="L11" s="454"/>
      <c r="M11" s="431"/>
    </row>
    <row r="12" spans="1:13">
      <c r="A12" s="431" t="s">
        <v>2232</v>
      </c>
      <c r="B12" s="455"/>
      <c r="C12" s="456"/>
      <c r="D12" s="457"/>
      <c r="E12" s="457"/>
      <c r="F12" s="457"/>
      <c r="G12" s="458"/>
      <c r="H12" s="459"/>
      <c r="I12" s="460"/>
      <c r="J12" s="461"/>
      <c r="K12" s="462"/>
      <c r="L12" s="463"/>
      <c r="M12" s="431"/>
    </row>
    <row r="13" spans="1:13">
      <c r="A13" s="431" t="s">
        <v>2232</v>
      </c>
      <c r="B13" s="464"/>
      <c r="C13" s="465"/>
      <c r="D13" s="466"/>
      <c r="E13" s="466"/>
      <c r="F13" s="466"/>
      <c r="G13" s="467"/>
      <c r="H13" s="459"/>
      <c r="I13" s="464"/>
      <c r="J13" s="461"/>
      <c r="K13" s="462"/>
      <c r="L13" s="463"/>
      <c r="M13" s="431"/>
    </row>
    <row r="14" spans="1:13">
      <c r="A14" s="431" t="s">
        <v>2232</v>
      </c>
      <c r="B14" s="464"/>
      <c r="C14" s="465"/>
      <c r="D14" s="466"/>
      <c r="E14" s="466"/>
      <c r="F14" s="466"/>
      <c r="G14" s="467"/>
      <c r="H14" s="459"/>
      <c r="I14" s="464"/>
      <c r="J14" s="461"/>
      <c r="K14" s="462"/>
      <c r="L14" s="463"/>
      <c r="M14" s="431"/>
    </row>
    <row r="15" spans="1:13">
      <c r="A15" s="431" t="s">
        <v>2232</v>
      </c>
      <c r="B15" s="464"/>
      <c r="C15" s="465"/>
      <c r="D15" s="466"/>
      <c r="E15" s="466"/>
      <c r="F15" s="466"/>
      <c r="G15" s="467"/>
      <c r="H15" s="459"/>
      <c r="I15" s="464"/>
      <c r="J15" s="461"/>
      <c r="K15" s="462"/>
      <c r="L15" s="463"/>
      <c r="M15" s="431"/>
    </row>
    <row r="16" spans="1:13">
      <c r="A16" s="431" t="s">
        <v>2232</v>
      </c>
      <c r="B16" s="464"/>
      <c r="C16" s="465"/>
      <c r="D16" s="466"/>
      <c r="E16" s="466"/>
      <c r="F16" s="466"/>
      <c r="G16" s="467"/>
      <c r="H16" s="459"/>
      <c r="I16" s="464"/>
      <c r="J16" s="461"/>
      <c r="K16" s="462"/>
      <c r="L16" s="463"/>
      <c r="M16" s="431"/>
    </row>
    <row r="17" spans="1:13">
      <c r="A17" s="431" t="s">
        <v>2232</v>
      </c>
      <c r="B17" s="464"/>
      <c r="C17" s="465"/>
      <c r="D17" s="466"/>
      <c r="E17" s="466"/>
      <c r="F17" s="466"/>
      <c r="G17" s="467"/>
      <c r="H17" s="459"/>
      <c r="I17" s="464"/>
      <c r="J17" s="461"/>
      <c r="K17" s="462"/>
      <c r="L17" s="463"/>
      <c r="M17" s="431"/>
    </row>
    <row r="18" spans="1:13">
      <c r="A18" s="431" t="s">
        <v>2232</v>
      </c>
      <c r="B18" s="464"/>
      <c r="C18" s="465"/>
      <c r="D18" s="466"/>
      <c r="E18" s="466"/>
      <c r="F18" s="466"/>
      <c r="G18" s="467"/>
      <c r="H18" s="459"/>
      <c r="I18" s="464"/>
      <c r="J18" s="461"/>
      <c r="K18" s="462"/>
      <c r="L18" s="463"/>
      <c r="M18" s="431"/>
    </row>
    <row r="19" spans="1:13">
      <c r="A19" s="431" t="s">
        <v>2232</v>
      </c>
      <c r="B19" s="464"/>
      <c r="C19" s="465"/>
      <c r="D19" s="466"/>
      <c r="E19" s="466"/>
      <c r="F19" s="466"/>
      <c r="G19" s="467"/>
      <c r="H19" s="459"/>
      <c r="I19" s="464"/>
      <c r="J19" s="461"/>
      <c r="K19" s="462"/>
      <c r="L19" s="463"/>
      <c r="M19" s="431"/>
    </row>
    <row r="20" spans="1:13">
      <c r="A20" s="431" t="s">
        <v>2232</v>
      </c>
      <c r="B20" s="464"/>
      <c r="C20" s="465"/>
      <c r="D20" s="466"/>
      <c r="E20" s="466"/>
      <c r="F20" s="466"/>
      <c r="G20" s="467"/>
      <c r="H20" s="459"/>
      <c r="I20" s="464"/>
      <c r="J20" s="461"/>
      <c r="K20" s="462"/>
      <c r="L20" s="463"/>
      <c r="M20" s="431"/>
    </row>
    <row r="21" spans="1:13">
      <c r="A21" s="431" t="s">
        <v>2232</v>
      </c>
      <c r="B21" s="464"/>
      <c r="C21" s="465"/>
      <c r="D21" s="466"/>
      <c r="E21" s="466"/>
      <c r="F21" s="466"/>
      <c r="G21" s="467"/>
      <c r="H21" s="459"/>
      <c r="I21" s="464"/>
      <c r="J21" s="461"/>
      <c r="K21" s="462"/>
      <c r="L21" s="463"/>
      <c r="M21" s="431"/>
    </row>
    <row r="22" spans="1:13">
      <c r="A22" s="431" t="s">
        <v>2232</v>
      </c>
      <c r="B22" s="464"/>
      <c r="C22" s="465"/>
      <c r="D22" s="466"/>
      <c r="E22" s="466"/>
      <c r="F22" s="466"/>
      <c r="G22" s="467"/>
      <c r="H22" s="459"/>
      <c r="I22" s="464"/>
      <c r="J22" s="461"/>
      <c r="K22" s="462"/>
      <c r="L22" s="463"/>
      <c r="M22" s="431"/>
    </row>
    <row r="23" spans="1:13">
      <c r="A23" s="431" t="s">
        <v>2232</v>
      </c>
      <c r="B23" s="464"/>
      <c r="C23" s="465"/>
      <c r="D23" s="466"/>
      <c r="E23" s="466"/>
      <c r="F23" s="466"/>
      <c r="G23" s="467"/>
      <c r="H23" s="459"/>
      <c r="I23" s="464"/>
      <c r="J23" s="461"/>
      <c r="K23" s="462"/>
      <c r="L23" s="463"/>
      <c r="M23" s="431"/>
    </row>
    <row r="24" spans="1:13">
      <c r="A24" s="431" t="s">
        <v>2232</v>
      </c>
      <c r="B24" s="464"/>
      <c r="C24" s="465"/>
      <c r="D24" s="466"/>
      <c r="E24" s="466"/>
      <c r="F24" s="466"/>
      <c r="G24" s="467"/>
      <c r="H24" s="459"/>
      <c r="I24" s="464"/>
      <c r="J24" s="461"/>
      <c r="K24" s="462"/>
      <c r="L24" s="463"/>
      <c r="M24" s="431"/>
    </row>
    <row r="25" spans="1:13">
      <c r="A25" s="431" t="s">
        <v>2232</v>
      </c>
      <c r="B25" s="464"/>
      <c r="C25" s="465"/>
      <c r="D25" s="466"/>
      <c r="E25" s="466"/>
      <c r="F25" s="466"/>
      <c r="G25" s="467"/>
      <c r="H25" s="459"/>
      <c r="I25" s="464"/>
      <c r="J25" s="461"/>
      <c r="K25" s="462"/>
      <c r="L25" s="463"/>
      <c r="M25" s="431"/>
    </row>
    <row r="26" spans="1:13">
      <c r="A26" s="431" t="s">
        <v>2232</v>
      </c>
      <c r="B26" s="464"/>
      <c r="C26" s="465"/>
      <c r="D26" s="466"/>
      <c r="E26" s="466"/>
      <c r="F26" s="466"/>
      <c r="G26" s="467"/>
      <c r="H26" s="459"/>
      <c r="I26" s="464"/>
      <c r="J26" s="461"/>
      <c r="K26" s="462"/>
      <c r="L26" s="463"/>
      <c r="M26" s="431"/>
    </row>
    <row r="27" spans="1:13">
      <c r="A27" s="431" t="s">
        <v>2232</v>
      </c>
      <c r="B27" s="464"/>
      <c r="C27" s="465"/>
      <c r="D27" s="466"/>
      <c r="E27" s="466"/>
      <c r="F27" s="466"/>
      <c r="G27" s="467"/>
      <c r="H27" s="459"/>
      <c r="I27" s="464"/>
      <c r="J27" s="461"/>
      <c r="K27" s="462"/>
      <c r="L27" s="463"/>
      <c r="M27" s="431"/>
    </row>
    <row r="28" spans="1:13">
      <c r="A28" s="431" t="s">
        <v>2232</v>
      </c>
      <c r="B28" s="464"/>
      <c r="C28" s="465"/>
      <c r="D28" s="466"/>
      <c r="E28" s="466"/>
      <c r="F28" s="466"/>
      <c r="G28" s="467"/>
      <c r="H28" s="459"/>
      <c r="I28" s="464"/>
      <c r="J28" s="461"/>
      <c r="K28" s="462"/>
      <c r="L28" s="463"/>
      <c r="M28" s="431"/>
    </row>
    <row r="29" spans="1:13">
      <c r="A29" s="431" t="s">
        <v>2232</v>
      </c>
      <c r="B29" s="464"/>
      <c r="C29" s="465"/>
      <c r="D29" s="466"/>
      <c r="E29" s="466"/>
      <c r="F29" s="466"/>
      <c r="G29" s="467"/>
      <c r="H29" s="459"/>
      <c r="I29" s="464"/>
      <c r="J29" s="461"/>
      <c r="K29" s="462"/>
      <c r="L29" s="463"/>
      <c r="M29" s="431"/>
    </row>
    <row r="30" spans="1:13">
      <c r="A30" s="431" t="s">
        <v>2232</v>
      </c>
      <c r="B30" s="464"/>
      <c r="C30" s="465"/>
      <c r="D30" s="466"/>
      <c r="E30" s="466"/>
      <c r="F30" s="466"/>
      <c r="G30" s="467"/>
      <c r="H30" s="459"/>
      <c r="I30" s="464"/>
      <c r="J30" s="461"/>
      <c r="K30" s="462"/>
      <c r="L30" s="463"/>
      <c r="M30" s="431"/>
    </row>
    <row r="31" spans="1:13">
      <c r="A31" s="431" t="s">
        <v>2232</v>
      </c>
      <c r="B31" s="464"/>
      <c r="C31" s="465"/>
      <c r="D31" s="466"/>
      <c r="E31" s="466"/>
      <c r="F31" s="466"/>
      <c r="G31" s="467"/>
      <c r="H31" s="459"/>
      <c r="I31" s="464"/>
      <c r="J31" s="461"/>
      <c r="K31" s="462"/>
      <c r="L31" s="463"/>
      <c r="M31" s="431"/>
    </row>
    <row r="32" spans="1:13">
      <c r="A32" s="431" t="s">
        <v>2232</v>
      </c>
      <c r="B32" s="464"/>
      <c r="C32" s="465"/>
      <c r="D32" s="466"/>
      <c r="E32" s="466"/>
      <c r="F32" s="466"/>
      <c r="G32" s="467"/>
      <c r="H32" s="459"/>
      <c r="I32" s="464"/>
      <c r="J32" s="461"/>
      <c r="K32" s="462"/>
      <c r="L32" s="463"/>
      <c r="M32" s="431"/>
    </row>
    <row r="33" spans="1:13">
      <c r="A33" s="431" t="s">
        <v>2232</v>
      </c>
      <c r="B33" s="464"/>
      <c r="C33" s="465"/>
      <c r="D33" s="466"/>
      <c r="E33" s="466"/>
      <c r="F33" s="466"/>
      <c r="G33" s="467"/>
      <c r="H33" s="459"/>
      <c r="I33" s="464"/>
      <c r="J33" s="468"/>
      <c r="K33" s="462"/>
      <c r="L33" s="463"/>
      <c r="M33" s="431"/>
    </row>
    <row r="34" spans="1:13">
      <c r="A34" s="431" t="s">
        <v>2232</v>
      </c>
      <c r="B34" s="464"/>
      <c r="C34" s="465"/>
      <c r="D34" s="466"/>
      <c r="E34" s="466"/>
      <c r="F34" s="466"/>
      <c r="G34" s="467"/>
      <c r="H34" s="459"/>
      <c r="I34" s="464"/>
      <c r="J34" s="468"/>
      <c r="K34" s="462"/>
      <c r="L34" s="463"/>
      <c r="M34" s="431"/>
    </row>
    <row r="35" spans="1:13">
      <c r="A35" s="431" t="s">
        <v>2232</v>
      </c>
      <c r="B35" s="464"/>
      <c r="C35" s="465"/>
      <c r="D35" s="466"/>
      <c r="E35" s="466"/>
      <c r="F35" s="466"/>
      <c r="G35" s="467"/>
      <c r="H35" s="459"/>
      <c r="I35" s="464"/>
      <c r="J35" s="468"/>
      <c r="K35" s="462"/>
      <c r="L35" s="463"/>
      <c r="M35" s="431"/>
    </row>
    <row r="36" spans="1:13">
      <c r="A36" s="431" t="s">
        <v>2232</v>
      </c>
      <c r="B36" s="464"/>
      <c r="C36" s="465"/>
      <c r="D36" s="466"/>
      <c r="E36" s="466"/>
      <c r="F36" s="466"/>
      <c r="G36" s="467"/>
      <c r="H36" s="459"/>
      <c r="I36" s="464"/>
      <c r="J36" s="468"/>
      <c r="K36" s="462"/>
      <c r="L36" s="463"/>
      <c r="M36" s="431"/>
    </row>
    <row r="37" spans="1:13">
      <c r="A37" s="431" t="s">
        <v>2232</v>
      </c>
      <c r="B37" s="464"/>
      <c r="C37" s="465"/>
      <c r="D37" s="466"/>
      <c r="E37" s="466"/>
      <c r="F37" s="466"/>
      <c r="G37" s="467"/>
      <c r="H37" s="459"/>
      <c r="I37" s="464"/>
      <c r="J37" s="468"/>
      <c r="K37" s="462"/>
      <c r="L37" s="463"/>
      <c r="M37" s="431"/>
    </row>
    <row r="38" spans="1:13">
      <c r="A38" s="431" t="s">
        <v>2232</v>
      </c>
      <c r="B38" s="464"/>
      <c r="C38" s="465"/>
      <c r="D38" s="466"/>
      <c r="E38" s="466"/>
      <c r="F38" s="466"/>
      <c r="G38" s="467"/>
      <c r="H38" s="459"/>
      <c r="I38" s="464"/>
      <c r="J38" s="468"/>
      <c r="K38" s="462"/>
      <c r="L38" s="463"/>
      <c r="M38" s="431"/>
    </row>
    <row r="39" spans="1:13">
      <c r="A39" s="431" t="s">
        <v>2232</v>
      </c>
      <c r="B39" s="464"/>
      <c r="C39" s="465"/>
      <c r="D39" s="466"/>
      <c r="E39" s="466"/>
      <c r="F39" s="466"/>
      <c r="G39" s="467"/>
      <c r="H39" s="459"/>
      <c r="I39" s="464"/>
      <c r="J39" s="468"/>
      <c r="K39" s="462"/>
      <c r="L39" s="463"/>
      <c r="M39" s="431"/>
    </row>
    <row r="40" spans="1:13">
      <c r="A40" s="431" t="s">
        <v>2232</v>
      </c>
      <c r="B40" s="464"/>
      <c r="C40" s="465"/>
      <c r="D40" s="466"/>
      <c r="E40" s="466"/>
      <c r="F40" s="466"/>
      <c r="G40" s="467"/>
      <c r="H40" s="459"/>
      <c r="I40" s="464"/>
      <c r="J40" s="468"/>
      <c r="K40" s="462"/>
      <c r="L40" s="463"/>
      <c r="M40" s="431"/>
    </row>
    <row r="41" spans="1:13">
      <c r="A41" s="431" t="s">
        <v>2232</v>
      </c>
      <c r="B41" s="464"/>
      <c r="C41" s="465"/>
      <c r="D41" s="466"/>
      <c r="E41" s="466"/>
      <c r="F41" s="466"/>
      <c r="G41" s="467"/>
      <c r="H41" s="459"/>
      <c r="I41" s="464"/>
      <c r="J41" s="468"/>
      <c r="K41" s="462"/>
      <c r="L41" s="463"/>
      <c r="M41" s="431"/>
    </row>
    <row r="42" spans="1:13">
      <c r="A42" s="431" t="s">
        <v>2232</v>
      </c>
      <c r="B42" s="464"/>
      <c r="C42" s="465"/>
      <c r="D42" s="466"/>
      <c r="E42" s="466"/>
      <c r="F42" s="466"/>
      <c r="G42" s="467"/>
      <c r="H42" s="459"/>
      <c r="I42" s="464"/>
      <c r="J42" s="468"/>
      <c r="K42" s="462"/>
      <c r="L42" s="463"/>
      <c r="M42" s="431"/>
    </row>
    <row r="43" spans="1:13">
      <c r="A43" s="431" t="s">
        <v>2232</v>
      </c>
      <c r="B43" s="464"/>
      <c r="C43" s="465"/>
      <c r="D43" s="466"/>
      <c r="E43" s="466"/>
      <c r="F43" s="466"/>
      <c r="G43" s="467"/>
      <c r="H43" s="459"/>
      <c r="I43" s="464"/>
      <c r="J43" s="468"/>
      <c r="K43" s="462"/>
      <c r="L43" s="463"/>
      <c r="M43" s="431"/>
    </row>
    <row r="44" spans="1:13">
      <c r="A44" s="431" t="s">
        <v>2232</v>
      </c>
      <c r="B44" s="464"/>
      <c r="C44" s="465"/>
      <c r="D44" s="466"/>
      <c r="E44" s="466"/>
      <c r="F44" s="466"/>
      <c r="G44" s="467"/>
      <c r="H44" s="459"/>
      <c r="I44" s="464"/>
      <c r="J44" s="468"/>
      <c r="K44" s="462"/>
      <c r="L44" s="463"/>
      <c r="M44" s="431"/>
    </row>
    <row r="45" spans="1:13">
      <c r="A45" s="431" t="s">
        <v>2232</v>
      </c>
      <c r="B45" s="464"/>
      <c r="C45" s="465"/>
      <c r="D45" s="466"/>
      <c r="E45" s="466"/>
      <c r="F45" s="466"/>
      <c r="G45" s="467"/>
      <c r="H45" s="459"/>
      <c r="I45" s="464"/>
      <c r="J45" s="468"/>
      <c r="K45" s="462"/>
      <c r="L45" s="463"/>
      <c r="M45" s="431"/>
    </row>
    <row r="46" spans="1:13">
      <c r="A46" s="431" t="s">
        <v>2232</v>
      </c>
      <c r="B46" s="464"/>
      <c r="C46" s="465"/>
      <c r="D46" s="466"/>
      <c r="E46" s="466"/>
      <c r="F46" s="466"/>
      <c r="G46" s="467"/>
      <c r="H46" s="459"/>
      <c r="I46" s="464"/>
      <c r="J46" s="468"/>
      <c r="K46" s="462"/>
      <c r="L46" s="463"/>
      <c r="M46" s="431"/>
    </row>
    <row r="47" spans="1:13">
      <c r="A47" s="431" t="s">
        <v>2232</v>
      </c>
      <c r="B47" s="464"/>
      <c r="C47" s="465"/>
      <c r="D47" s="466"/>
      <c r="E47" s="466"/>
      <c r="F47" s="466"/>
      <c r="G47" s="467"/>
      <c r="H47" s="459"/>
      <c r="I47" s="464"/>
      <c r="J47" s="468"/>
      <c r="K47" s="462"/>
      <c r="L47" s="463"/>
      <c r="M47" s="431"/>
    </row>
    <row r="48" spans="1:13">
      <c r="A48" s="431" t="s">
        <v>2232</v>
      </c>
      <c r="B48" s="464"/>
      <c r="C48" s="465"/>
      <c r="D48" s="466"/>
      <c r="E48" s="466"/>
      <c r="F48" s="466"/>
      <c r="G48" s="467"/>
      <c r="H48" s="459"/>
      <c r="I48" s="464"/>
      <c r="J48" s="468"/>
      <c r="K48" s="462"/>
      <c r="L48" s="463"/>
      <c r="M48" s="431"/>
    </row>
    <row r="49" spans="1:13">
      <c r="A49" s="431" t="s">
        <v>2232</v>
      </c>
      <c r="B49" s="464"/>
      <c r="C49" s="465"/>
      <c r="D49" s="466"/>
      <c r="E49" s="466"/>
      <c r="F49" s="466"/>
      <c r="G49" s="467"/>
      <c r="H49" s="459"/>
      <c r="I49" s="464"/>
      <c r="J49" s="468"/>
      <c r="K49" s="462"/>
      <c r="L49" s="463"/>
      <c r="M49" s="431"/>
    </row>
    <row r="50" spans="1:13">
      <c r="A50" s="431" t="s">
        <v>2232</v>
      </c>
      <c r="B50" s="464"/>
      <c r="C50" s="465"/>
      <c r="D50" s="466"/>
      <c r="E50" s="466"/>
      <c r="F50" s="466"/>
      <c r="G50" s="467"/>
      <c r="H50" s="459"/>
      <c r="I50" s="464"/>
      <c r="J50" s="468"/>
      <c r="K50" s="462"/>
      <c r="L50" s="463"/>
      <c r="M50" s="431"/>
    </row>
    <row r="51" spans="1:13">
      <c r="A51" s="431" t="s">
        <v>2232</v>
      </c>
      <c r="B51" s="464"/>
      <c r="C51" s="465"/>
      <c r="D51" s="466"/>
      <c r="E51" s="466"/>
      <c r="F51" s="466"/>
      <c r="G51" s="467"/>
      <c r="H51" s="459"/>
      <c r="I51" s="464"/>
      <c r="J51" s="468"/>
      <c r="K51" s="462"/>
      <c r="L51" s="463"/>
      <c r="M51" s="431"/>
    </row>
    <row r="52" spans="1:13">
      <c r="A52" s="431" t="s">
        <v>2232</v>
      </c>
      <c r="B52" s="464"/>
      <c r="C52" s="465"/>
      <c r="D52" s="466"/>
      <c r="E52" s="466"/>
      <c r="F52" s="466"/>
      <c r="G52" s="467"/>
      <c r="H52" s="459"/>
      <c r="I52" s="464"/>
      <c r="J52" s="468"/>
      <c r="K52" s="462"/>
      <c r="L52" s="463"/>
      <c r="M52" s="431"/>
    </row>
    <row r="53" spans="1:13">
      <c r="A53" s="431" t="s">
        <v>2232</v>
      </c>
      <c r="B53" s="464"/>
      <c r="C53" s="465"/>
      <c r="D53" s="466"/>
      <c r="E53" s="466"/>
      <c r="F53" s="466"/>
      <c r="G53" s="467"/>
      <c r="H53" s="459"/>
      <c r="I53" s="464"/>
      <c r="J53" s="468"/>
      <c r="K53" s="462"/>
      <c r="L53" s="463"/>
      <c r="M53" s="431"/>
    </row>
    <row r="54" spans="1:13">
      <c r="A54" s="431" t="s">
        <v>2232</v>
      </c>
      <c r="B54" s="464"/>
      <c r="C54" s="465"/>
      <c r="D54" s="466"/>
      <c r="E54" s="466"/>
      <c r="F54" s="466"/>
      <c r="G54" s="467"/>
      <c r="H54" s="459"/>
      <c r="I54" s="464"/>
      <c r="J54" s="468"/>
      <c r="K54" s="462"/>
      <c r="L54" s="463"/>
      <c r="M54" s="431"/>
    </row>
    <row r="55" spans="1:13">
      <c r="A55" s="431" t="s">
        <v>2232</v>
      </c>
      <c r="B55" s="464"/>
      <c r="C55" s="465"/>
      <c r="D55" s="466"/>
      <c r="E55" s="466"/>
      <c r="F55" s="466"/>
      <c r="G55" s="467"/>
      <c r="H55" s="459"/>
      <c r="I55" s="464"/>
      <c r="J55" s="468"/>
      <c r="K55" s="462"/>
      <c r="L55" s="463"/>
      <c r="M55" s="431"/>
    </row>
    <row r="56" spans="1:13">
      <c r="A56" s="431" t="s">
        <v>2232</v>
      </c>
      <c r="B56" s="464"/>
      <c r="C56" s="465"/>
      <c r="D56" s="466"/>
      <c r="E56" s="466"/>
      <c r="F56" s="466"/>
      <c r="G56" s="467"/>
      <c r="H56" s="459"/>
      <c r="I56" s="464"/>
      <c r="J56" s="468"/>
      <c r="K56" s="462"/>
      <c r="L56" s="463"/>
      <c r="M56" s="431"/>
    </row>
    <row r="57" spans="1:13">
      <c r="A57" s="431" t="s">
        <v>2232</v>
      </c>
      <c r="B57" s="464"/>
      <c r="C57" s="465"/>
      <c r="D57" s="466"/>
      <c r="E57" s="466"/>
      <c r="F57" s="466"/>
      <c r="G57" s="467"/>
      <c r="H57" s="459"/>
      <c r="I57" s="464"/>
      <c r="J57" s="468"/>
      <c r="K57" s="462"/>
      <c r="L57" s="463"/>
      <c r="M57" s="431"/>
    </row>
    <row r="58" spans="1:13">
      <c r="A58" s="431" t="s">
        <v>2232</v>
      </c>
      <c r="B58" s="464"/>
      <c r="C58" s="465"/>
      <c r="D58" s="466"/>
      <c r="E58" s="466"/>
      <c r="F58" s="466"/>
      <c r="G58" s="467"/>
      <c r="H58" s="459"/>
      <c r="I58" s="464"/>
      <c r="J58" s="468"/>
      <c r="K58" s="462"/>
      <c r="L58" s="463"/>
      <c r="M58" s="431"/>
    </row>
    <row r="59" spans="1:13">
      <c r="A59" s="431" t="s">
        <v>2232</v>
      </c>
      <c r="B59" s="464"/>
      <c r="C59" s="465"/>
      <c r="D59" s="466"/>
      <c r="E59" s="466"/>
      <c r="F59" s="466"/>
      <c r="G59" s="467"/>
      <c r="H59" s="459"/>
      <c r="I59" s="464"/>
      <c r="J59" s="468"/>
      <c r="K59" s="462"/>
      <c r="L59" s="463"/>
      <c r="M59" s="431"/>
    </row>
    <row r="60" spans="1:13">
      <c r="A60" s="431" t="s">
        <v>2232</v>
      </c>
      <c r="B60" s="464"/>
      <c r="C60" s="465"/>
      <c r="D60" s="466"/>
      <c r="E60" s="466"/>
      <c r="F60" s="466"/>
      <c r="G60" s="467"/>
      <c r="H60" s="459"/>
      <c r="I60" s="464"/>
      <c r="J60" s="468"/>
      <c r="K60" s="462"/>
      <c r="L60" s="463"/>
      <c r="M60" s="431"/>
    </row>
    <row r="61" spans="1:13">
      <c r="A61" s="431" t="s">
        <v>2232</v>
      </c>
      <c r="B61" s="464"/>
      <c r="C61" s="465"/>
      <c r="D61" s="466"/>
      <c r="E61" s="466"/>
      <c r="F61" s="466"/>
      <c r="G61" s="467"/>
      <c r="H61" s="459"/>
      <c r="I61" s="464"/>
      <c r="J61" s="468"/>
      <c r="K61" s="462"/>
      <c r="L61" s="463"/>
      <c r="M61" s="431"/>
    </row>
    <row r="62" spans="1:13">
      <c r="A62" s="431" t="s">
        <v>2232</v>
      </c>
      <c r="B62" s="464"/>
      <c r="C62" s="465"/>
      <c r="D62" s="466"/>
      <c r="E62" s="466"/>
      <c r="F62" s="466"/>
      <c r="G62" s="467"/>
      <c r="H62" s="459"/>
      <c r="I62" s="464"/>
      <c r="J62" s="468"/>
      <c r="K62" s="462"/>
      <c r="L62" s="463"/>
      <c r="M62" s="431"/>
    </row>
    <row r="63" spans="1:13">
      <c r="A63" s="431" t="s">
        <v>2232</v>
      </c>
      <c r="B63" s="464"/>
      <c r="C63" s="465"/>
      <c r="D63" s="466"/>
      <c r="E63" s="466"/>
      <c r="F63" s="466"/>
      <c r="G63" s="467"/>
      <c r="H63" s="459"/>
      <c r="I63" s="464"/>
      <c r="J63" s="468"/>
      <c r="K63" s="462"/>
      <c r="L63" s="463"/>
      <c r="M63" s="431"/>
    </row>
    <row r="64" spans="1:13">
      <c r="A64" s="431" t="s">
        <v>2232</v>
      </c>
      <c r="B64" s="464"/>
      <c r="C64" s="465"/>
      <c r="D64" s="466"/>
      <c r="E64" s="466"/>
      <c r="F64" s="466"/>
      <c r="G64" s="467"/>
      <c r="H64" s="459"/>
      <c r="I64" s="464"/>
      <c r="J64" s="468"/>
      <c r="K64" s="462"/>
      <c r="L64" s="463"/>
      <c r="M64" s="431"/>
    </row>
    <row r="65" spans="1:13">
      <c r="A65" s="431" t="s">
        <v>2232</v>
      </c>
      <c r="B65" s="464"/>
      <c r="C65" s="465"/>
      <c r="D65" s="466"/>
      <c r="E65" s="466"/>
      <c r="F65" s="466"/>
      <c r="G65" s="467"/>
      <c r="H65" s="459"/>
      <c r="I65" s="464"/>
      <c r="J65" s="468"/>
      <c r="K65" s="462"/>
      <c r="L65" s="463"/>
      <c r="M65" s="431"/>
    </row>
    <row r="66" spans="1:13">
      <c r="A66" s="431" t="s">
        <v>2232</v>
      </c>
      <c r="B66" s="464"/>
      <c r="C66" s="465"/>
      <c r="D66" s="466"/>
      <c r="E66" s="466"/>
      <c r="F66" s="466"/>
      <c r="G66" s="467"/>
      <c r="H66" s="459"/>
      <c r="I66" s="464"/>
      <c r="J66" s="468"/>
      <c r="K66" s="462"/>
      <c r="L66" s="463"/>
      <c r="M66" s="431"/>
    </row>
    <row r="67" spans="1:13">
      <c r="A67" s="431" t="s">
        <v>2232</v>
      </c>
      <c r="B67" s="464"/>
      <c r="C67" s="465"/>
      <c r="D67" s="466"/>
      <c r="E67" s="466"/>
      <c r="F67" s="466"/>
      <c r="G67" s="467"/>
      <c r="H67" s="459"/>
      <c r="I67" s="464"/>
      <c r="J67" s="468"/>
      <c r="K67" s="462"/>
      <c r="L67" s="463"/>
      <c r="M67" s="431"/>
    </row>
    <row r="68" spans="1:13">
      <c r="A68" s="431" t="s">
        <v>2232</v>
      </c>
      <c r="B68" s="464"/>
      <c r="C68" s="465"/>
      <c r="D68" s="466"/>
      <c r="E68" s="466"/>
      <c r="F68" s="466"/>
      <c r="G68" s="467"/>
      <c r="H68" s="459"/>
      <c r="I68" s="464"/>
      <c r="J68" s="468"/>
      <c r="K68" s="462"/>
      <c r="L68" s="463"/>
      <c r="M68" s="431"/>
    </row>
    <row r="69" spans="1:13">
      <c r="A69" s="431" t="s">
        <v>2232</v>
      </c>
      <c r="B69" s="464"/>
      <c r="C69" s="465"/>
      <c r="D69" s="466"/>
      <c r="E69" s="466"/>
      <c r="F69" s="466"/>
      <c r="G69" s="467"/>
      <c r="H69" s="459"/>
      <c r="I69" s="464"/>
      <c r="J69" s="468"/>
      <c r="K69" s="462"/>
      <c r="L69" s="463"/>
      <c r="M69" s="431"/>
    </row>
    <row r="70" spans="1:13">
      <c r="A70" s="431" t="s">
        <v>2232</v>
      </c>
      <c r="B70" s="464"/>
      <c r="C70" s="465"/>
      <c r="D70" s="466"/>
      <c r="E70" s="466"/>
      <c r="F70" s="466"/>
      <c r="G70" s="467"/>
      <c r="H70" s="431"/>
      <c r="I70" s="464"/>
      <c r="J70" s="468"/>
      <c r="K70" s="462"/>
      <c r="L70" s="463"/>
      <c r="M70" s="431"/>
    </row>
    <row r="71" spans="1:13">
      <c r="A71" s="431" t="s">
        <v>2232</v>
      </c>
      <c r="B71" s="464"/>
      <c r="C71" s="465"/>
      <c r="D71" s="466"/>
      <c r="E71" s="466"/>
      <c r="F71" s="466"/>
      <c r="G71" s="467"/>
      <c r="H71" s="431"/>
      <c r="I71" s="464"/>
      <c r="J71" s="468"/>
      <c r="K71" s="462"/>
      <c r="L71" s="463"/>
      <c r="M71" s="431"/>
    </row>
    <row r="72" spans="1:13">
      <c r="A72" s="431" t="s">
        <v>2232</v>
      </c>
      <c r="B72" s="464"/>
      <c r="C72" s="465"/>
      <c r="D72" s="466"/>
      <c r="E72" s="466"/>
      <c r="F72" s="466"/>
      <c r="G72" s="467"/>
      <c r="H72" s="431"/>
      <c r="I72" s="464"/>
      <c r="J72" s="468"/>
      <c r="K72" s="462"/>
      <c r="L72" s="463"/>
      <c r="M72" s="431"/>
    </row>
    <row r="73" spans="1:13">
      <c r="A73" s="431" t="s">
        <v>2232</v>
      </c>
      <c r="B73" s="464"/>
      <c r="C73" s="465"/>
      <c r="D73" s="466"/>
      <c r="E73" s="466"/>
      <c r="F73" s="466"/>
      <c r="G73" s="467"/>
      <c r="H73" s="431"/>
      <c r="I73" s="464"/>
      <c r="J73" s="468"/>
      <c r="K73" s="462"/>
      <c r="L73" s="463"/>
      <c r="M73" s="431"/>
    </row>
    <row r="74" spans="1:13">
      <c r="A74" s="431" t="s">
        <v>2232</v>
      </c>
      <c r="B74" s="464"/>
      <c r="C74" s="465"/>
      <c r="D74" s="466"/>
      <c r="E74" s="466"/>
      <c r="F74" s="466"/>
      <c r="G74" s="467"/>
      <c r="H74" s="431"/>
      <c r="I74" s="464"/>
      <c r="J74" s="468"/>
      <c r="K74" s="462"/>
      <c r="L74" s="463"/>
      <c r="M74" s="431"/>
    </row>
    <row r="75" spans="1:13">
      <c r="A75" s="431" t="s">
        <v>2232</v>
      </c>
      <c r="B75" s="464"/>
      <c r="C75" s="465"/>
      <c r="D75" s="466"/>
      <c r="E75" s="466"/>
      <c r="F75" s="466"/>
      <c r="G75" s="467"/>
      <c r="H75" s="431"/>
      <c r="I75" s="464"/>
      <c r="J75" s="468"/>
      <c r="K75" s="462"/>
      <c r="L75" s="463"/>
      <c r="M75" s="431"/>
    </row>
    <row r="76" spans="1:13">
      <c r="A76" s="431" t="s">
        <v>2232</v>
      </c>
      <c r="B76" s="464"/>
      <c r="C76" s="465"/>
      <c r="D76" s="466"/>
      <c r="E76" s="466"/>
      <c r="F76" s="466"/>
      <c r="G76" s="467"/>
      <c r="H76" s="431"/>
      <c r="I76" s="464"/>
      <c r="J76" s="468"/>
      <c r="K76" s="462"/>
      <c r="L76" s="463"/>
      <c r="M76" s="431"/>
    </row>
    <row r="77" spans="1:13">
      <c r="A77" s="431" t="s">
        <v>2232</v>
      </c>
      <c r="B77" s="464"/>
      <c r="C77" s="465"/>
      <c r="D77" s="466"/>
      <c r="E77" s="466"/>
      <c r="F77" s="466"/>
      <c r="G77" s="467"/>
      <c r="H77" s="431"/>
      <c r="I77" s="464"/>
      <c r="J77" s="468"/>
      <c r="K77" s="462"/>
      <c r="L77" s="463"/>
      <c r="M77" s="431"/>
    </row>
    <row r="78" spans="1:13">
      <c r="A78" s="431" t="s">
        <v>2232</v>
      </c>
      <c r="B78" s="464"/>
      <c r="C78" s="465"/>
      <c r="D78" s="466"/>
      <c r="E78" s="466"/>
      <c r="F78" s="466"/>
      <c r="G78" s="467"/>
      <c r="H78" s="431"/>
      <c r="I78" s="464"/>
      <c r="J78" s="468"/>
      <c r="K78" s="462"/>
      <c r="L78" s="463"/>
      <c r="M78" s="431"/>
    </row>
    <row r="79" spans="1:13" ht="13.5" thickBot="1">
      <c r="A79" s="431" t="s">
        <v>2232</v>
      </c>
      <c r="B79" s="464"/>
      <c r="C79" s="465"/>
      <c r="D79" s="466"/>
      <c r="E79" s="466"/>
      <c r="F79" s="466"/>
      <c r="G79" s="467"/>
      <c r="H79" s="431"/>
      <c r="I79" s="469"/>
      <c r="J79" s="470"/>
      <c r="K79" s="471"/>
      <c r="L79" s="472"/>
      <c r="M79" s="431"/>
    </row>
    <row r="80" spans="1:13">
      <c r="A80" s="431" t="s">
        <v>2232</v>
      </c>
      <c r="B80" s="464"/>
      <c r="C80" s="465"/>
      <c r="D80" s="466"/>
      <c r="E80" s="466"/>
      <c r="F80" s="466"/>
      <c r="G80" s="467"/>
      <c r="H80" s="431"/>
      <c r="I80" s="433"/>
      <c r="J80" s="433"/>
      <c r="K80" s="433"/>
      <c r="L80" s="433"/>
      <c r="M80" s="431"/>
    </row>
    <row r="81" spans="1:13">
      <c r="A81" s="431" t="s">
        <v>2232</v>
      </c>
      <c r="B81" s="464"/>
      <c r="C81" s="465"/>
      <c r="D81" s="466"/>
      <c r="E81" s="466"/>
      <c r="F81" s="466"/>
      <c r="G81" s="467"/>
      <c r="H81" s="431"/>
      <c r="I81" s="431"/>
      <c r="J81" s="433"/>
      <c r="K81" s="473"/>
      <c r="L81" s="473"/>
      <c r="M81" s="431"/>
    </row>
    <row r="82" spans="1:13" ht="13.5" thickBot="1">
      <c r="A82" s="431" t="s">
        <v>2232</v>
      </c>
      <c r="B82" s="464"/>
      <c r="C82" s="465"/>
      <c r="D82" s="466"/>
      <c r="E82" s="466"/>
      <c r="F82" s="466"/>
      <c r="G82" s="467"/>
      <c r="H82" s="431"/>
      <c r="I82" s="431"/>
      <c r="J82" s="433"/>
      <c r="K82" s="473"/>
      <c r="L82" s="473"/>
      <c r="M82" s="431"/>
    </row>
    <row r="83" spans="1:13">
      <c r="A83" s="431" t="s">
        <v>2232</v>
      </c>
      <c r="B83" s="464"/>
      <c r="C83" s="465"/>
      <c r="D83" s="466"/>
      <c r="E83" s="466"/>
      <c r="F83" s="466"/>
      <c r="G83" s="467"/>
      <c r="H83" s="431"/>
      <c r="I83" s="474" t="s">
        <v>2303</v>
      </c>
      <c r="J83" s="475"/>
      <c r="K83" s="475"/>
      <c r="L83" s="476"/>
      <c r="M83" s="431"/>
    </row>
    <row r="84" spans="1:13" ht="13.5" thickBot="1">
      <c r="A84" s="431" t="s">
        <v>2232</v>
      </c>
      <c r="B84" s="464"/>
      <c r="C84" s="465"/>
      <c r="D84" s="466"/>
      <c r="E84" s="466"/>
      <c r="F84" s="466"/>
      <c r="G84" s="467"/>
      <c r="H84" s="431"/>
      <c r="I84" s="477"/>
      <c r="J84" s="478"/>
      <c r="K84" s="478"/>
      <c r="L84" s="479"/>
      <c r="M84" s="431"/>
    </row>
    <row r="85" spans="1:13">
      <c r="A85" s="431" t="s">
        <v>2232</v>
      </c>
      <c r="B85" s="464"/>
      <c r="C85" s="465"/>
      <c r="D85" s="466"/>
      <c r="E85" s="466"/>
      <c r="F85" s="466"/>
      <c r="G85" s="467"/>
      <c r="H85" s="431"/>
      <c r="I85" s="431"/>
      <c r="J85" s="433"/>
      <c r="K85" s="473"/>
      <c r="L85" s="473"/>
      <c r="M85" s="431"/>
    </row>
    <row r="86" spans="1:13">
      <c r="A86" s="431" t="s">
        <v>2232</v>
      </c>
      <c r="B86" s="464"/>
      <c r="C86" s="465"/>
      <c r="D86" s="466"/>
      <c r="E86" s="466"/>
      <c r="F86" s="466"/>
      <c r="G86" s="467"/>
      <c r="H86" s="431"/>
      <c r="I86" s="431"/>
      <c r="J86" s="433"/>
      <c r="K86" s="473"/>
      <c r="L86" s="473"/>
      <c r="M86" s="431"/>
    </row>
    <row r="87" spans="1:13" ht="12.75" customHeight="1">
      <c r="A87" s="431" t="s">
        <v>2232</v>
      </c>
      <c r="B87" s="464"/>
      <c r="C87" s="465"/>
      <c r="D87" s="466"/>
      <c r="E87" s="466"/>
      <c r="F87" s="466"/>
      <c r="G87" s="467"/>
      <c r="H87" s="431"/>
      <c r="I87" s="431"/>
      <c r="J87" s="433"/>
      <c r="K87" s="473"/>
      <c r="L87" s="473"/>
      <c r="M87" s="431"/>
    </row>
    <row r="88" spans="1:13" ht="12.75" customHeight="1">
      <c r="A88" s="431"/>
      <c r="B88" s="464"/>
      <c r="C88" s="465"/>
      <c r="D88" s="466"/>
      <c r="E88" s="466"/>
      <c r="F88" s="466"/>
      <c r="G88" s="467"/>
      <c r="H88" s="431"/>
      <c r="I88" s="431"/>
      <c r="J88" s="431"/>
      <c r="K88" s="431"/>
      <c r="L88" s="431"/>
      <c r="M88" s="431"/>
    </row>
    <row r="89" spans="1:13" ht="12.75" customHeight="1">
      <c r="A89" s="431"/>
      <c r="B89" s="464"/>
      <c r="C89" s="465"/>
      <c r="D89" s="466"/>
      <c r="E89" s="466"/>
      <c r="F89" s="466"/>
      <c r="G89" s="467"/>
      <c r="H89" s="431"/>
      <c r="I89" s="431"/>
      <c r="J89" s="431"/>
      <c r="K89" s="431"/>
      <c r="L89" s="431"/>
      <c r="M89" s="431"/>
    </row>
    <row r="90" spans="1:13">
      <c r="A90" s="431"/>
      <c r="B90" s="464"/>
      <c r="C90" s="465"/>
      <c r="D90" s="466"/>
      <c r="E90" s="466"/>
      <c r="F90" s="466"/>
      <c r="G90" s="467"/>
      <c r="H90" s="431"/>
      <c r="I90" s="431"/>
      <c r="J90" s="431"/>
      <c r="K90" s="431"/>
      <c r="L90" s="431"/>
      <c r="M90" s="431"/>
    </row>
    <row r="91" spans="1:13">
      <c r="A91" s="431"/>
      <c r="B91" s="464"/>
      <c r="C91" s="465"/>
      <c r="D91" s="466"/>
      <c r="E91" s="466"/>
      <c r="F91" s="466"/>
      <c r="G91" s="467"/>
      <c r="H91" s="431"/>
      <c r="I91" s="431"/>
      <c r="J91" s="431"/>
      <c r="K91" s="431"/>
      <c r="L91" s="431"/>
      <c r="M91" s="431"/>
    </row>
    <row r="92" spans="1:13" ht="13.5" thickBot="1">
      <c r="A92" s="431" t="s">
        <v>2232</v>
      </c>
      <c r="B92" s="469"/>
      <c r="C92" s="480"/>
      <c r="D92" s="481"/>
      <c r="E92" s="481"/>
      <c r="F92" s="481"/>
      <c r="G92" s="482"/>
      <c r="H92" s="431"/>
      <c r="I92" s="431"/>
      <c r="J92" s="431"/>
      <c r="K92" s="431"/>
      <c r="L92" s="431"/>
      <c r="M92" s="431"/>
    </row>
    <row r="93" spans="1:13" ht="13.5" thickBot="1">
      <c r="A93" s="431" t="s">
        <v>2232</v>
      </c>
      <c r="B93" s="431"/>
      <c r="C93" s="483"/>
      <c r="D93" s="483"/>
      <c r="E93" s="483"/>
      <c r="F93" s="483"/>
      <c r="G93" s="483"/>
      <c r="H93" s="431"/>
      <c r="I93" s="431"/>
      <c r="J93" s="431"/>
      <c r="K93" s="431"/>
      <c r="L93" s="431"/>
      <c r="M93" s="431"/>
    </row>
    <row r="94" spans="1:13" ht="20.25">
      <c r="A94" s="431" t="s">
        <v>2232</v>
      </c>
      <c r="B94" s="484"/>
      <c r="C94" s="485"/>
      <c r="D94" s="486" t="s">
        <v>2236</v>
      </c>
      <c r="E94" s="487"/>
      <c r="F94" s="483"/>
      <c r="G94" s="483"/>
      <c r="H94" s="431"/>
      <c r="I94" s="431"/>
      <c r="J94" s="431"/>
      <c r="K94" s="431"/>
      <c r="L94" s="431"/>
      <c r="M94" s="431"/>
    </row>
    <row r="95" spans="1:13" ht="21" thickBot="1">
      <c r="A95" s="431" t="s">
        <v>2232</v>
      </c>
      <c r="B95" s="449"/>
      <c r="C95" s="450"/>
      <c r="D95" s="450"/>
      <c r="E95" s="451"/>
      <c r="F95" s="483"/>
      <c r="G95" s="483"/>
      <c r="H95" s="431"/>
      <c r="I95" s="431"/>
      <c r="J95" s="431"/>
      <c r="K95" s="431"/>
      <c r="L95" s="431"/>
      <c r="M95" s="431"/>
    </row>
    <row r="96" spans="1:13">
      <c r="A96" s="431" t="s">
        <v>2232</v>
      </c>
      <c r="B96" s="455"/>
      <c r="C96" s="488"/>
      <c r="D96" s="489"/>
      <c r="E96" s="490"/>
      <c r="F96" s="483"/>
      <c r="G96" s="483"/>
      <c r="H96" s="431"/>
      <c r="I96" s="431"/>
      <c r="J96" s="431"/>
      <c r="K96" s="431"/>
      <c r="L96" s="431"/>
      <c r="M96" s="431"/>
    </row>
    <row r="97" spans="1:13">
      <c r="A97" s="431" t="s">
        <v>2232</v>
      </c>
      <c r="B97" s="464"/>
      <c r="C97" s="491"/>
      <c r="D97" s="492"/>
      <c r="E97" s="493"/>
      <c r="F97" s="483"/>
      <c r="G97" s="483"/>
      <c r="H97" s="431"/>
      <c r="I97" s="431"/>
      <c r="J97" s="431"/>
      <c r="K97" s="431"/>
      <c r="L97" s="431"/>
      <c r="M97" s="431"/>
    </row>
    <row r="98" spans="1:13">
      <c r="A98" s="431" t="s">
        <v>2232</v>
      </c>
      <c r="B98" s="464"/>
      <c r="C98" s="491"/>
      <c r="D98" s="492"/>
      <c r="E98" s="493"/>
      <c r="F98" s="483"/>
      <c r="G98" s="483"/>
      <c r="H98" s="431"/>
      <c r="I98" s="431"/>
      <c r="J98" s="431"/>
      <c r="K98" s="431"/>
      <c r="L98" s="431"/>
      <c r="M98" s="431"/>
    </row>
    <row r="99" spans="1:13">
      <c r="A99" s="431" t="s">
        <v>2232</v>
      </c>
      <c r="B99" s="464"/>
      <c r="C99" s="491"/>
      <c r="D99" s="492"/>
      <c r="E99" s="493"/>
      <c r="F99" s="483"/>
      <c r="G99" s="483"/>
      <c r="H99" s="431"/>
      <c r="I99" s="431"/>
      <c r="J99" s="431"/>
      <c r="K99" s="431"/>
      <c r="L99" s="431"/>
      <c r="M99" s="431"/>
    </row>
    <row r="100" spans="1:13">
      <c r="A100" s="431" t="s">
        <v>2232</v>
      </c>
      <c r="B100" s="464"/>
      <c r="C100" s="491"/>
      <c r="D100" s="492"/>
      <c r="E100" s="493"/>
      <c r="F100" s="483"/>
      <c r="G100" s="483"/>
      <c r="H100" s="431"/>
      <c r="I100" s="431"/>
      <c r="J100" s="431"/>
      <c r="K100" s="431"/>
      <c r="L100" s="431"/>
      <c r="M100" s="431"/>
    </row>
    <row r="101" spans="1:13">
      <c r="A101" s="431" t="s">
        <v>2232</v>
      </c>
      <c r="B101" s="464"/>
      <c r="C101" s="491"/>
      <c r="D101" s="492"/>
      <c r="E101" s="493"/>
      <c r="F101" s="431"/>
      <c r="G101" s="431"/>
      <c r="H101" s="431"/>
      <c r="I101" s="431"/>
      <c r="J101" s="431"/>
      <c r="K101" s="431"/>
      <c r="L101" s="431"/>
      <c r="M101" s="431"/>
    </row>
    <row r="102" spans="1:13">
      <c r="A102" s="431" t="s">
        <v>2232</v>
      </c>
      <c r="B102" s="464"/>
      <c r="C102" s="491"/>
      <c r="D102" s="492"/>
      <c r="E102" s="493"/>
      <c r="F102" s="431"/>
      <c r="G102" s="431"/>
      <c r="H102" s="431"/>
      <c r="I102" s="431"/>
      <c r="J102" s="431"/>
      <c r="K102" s="431"/>
      <c r="L102" s="431"/>
      <c r="M102" s="431"/>
    </row>
    <row r="103" spans="1:13">
      <c r="A103" s="431" t="s">
        <v>2232</v>
      </c>
      <c r="B103" s="464"/>
      <c r="C103" s="491"/>
      <c r="D103" s="492"/>
      <c r="E103" s="493"/>
      <c r="F103" s="431"/>
      <c r="G103" s="431"/>
      <c r="H103" s="431"/>
      <c r="I103" s="431"/>
      <c r="J103" s="431"/>
      <c r="K103" s="431"/>
      <c r="L103" s="431"/>
      <c r="M103" s="431"/>
    </row>
    <row r="104" spans="1:13">
      <c r="A104" s="431" t="s">
        <v>2232</v>
      </c>
      <c r="B104" s="464"/>
      <c r="C104" s="491"/>
      <c r="D104" s="492"/>
      <c r="E104" s="493"/>
      <c r="F104" s="431"/>
      <c r="G104" s="431"/>
      <c r="H104" s="431"/>
      <c r="I104" s="431"/>
      <c r="J104" s="431"/>
      <c r="K104" s="431"/>
      <c r="L104" s="431"/>
      <c r="M104" s="431"/>
    </row>
    <row r="105" spans="1:13">
      <c r="A105" s="431" t="s">
        <v>2232</v>
      </c>
      <c r="B105" s="464"/>
      <c r="C105" s="491"/>
      <c r="D105" s="492"/>
      <c r="E105" s="493"/>
      <c r="F105" s="431"/>
      <c r="G105" s="431"/>
      <c r="H105" s="431"/>
      <c r="I105" s="431"/>
      <c r="J105" s="431"/>
      <c r="K105" s="431"/>
      <c r="L105" s="431"/>
      <c r="M105" s="431"/>
    </row>
    <row r="106" spans="1:13">
      <c r="A106" s="431" t="s">
        <v>2232</v>
      </c>
      <c r="B106" s="464"/>
      <c r="C106" s="491"/>
      <c r="D106" s="492"/>
      <c r="E106" s="493"/>
      <c r="F106" s="431"/>
      <c r="G106" s="431"/>
      <c r="H106" s="431"/>
      <c r="I106" s="431"/>
      <c r="J106" s="431"/>
      <c r="K106" s="431"/>
      <c r="L106" s="431"/>
      <c r="M106" s="431"/>
    </row>
    <row r="107" spans="1:13">
      <c r="A107" s="431" t="s">
        <v>2232</v>
      </c>
      <c r="B107" s="464"/>
      <c r="C107" s="491"/>
      <c r="D107" s="492"/>
      <c r="E107" s="493"/>
      <c r="F107" s="431"/>
      <c r="G107" s="431"/>
      <c r="H107" s="431"/>
      <c r="I107" s="431"/>
      <c r="J107" s="431"/>
      <c r="K107" s="431"/>
      <c r="L107" s="431"/>
      <c r="M107" s="431"/>
    </row>
    <row r="108" spans="1:13">
      <c r="A108" s="431" t="s">
        <v>2232</v>
      </c>
      <c r="B108" s="464"/>
      <c r="C108" s="491"/>
      <c r="D108" s="492"/>
      <c r="E108" s="493"/>
      <c r="F108" s="431"/>
      <c r="G108" s="431"/>
      <c r="H108" s="431"/>
      <c r="I108" s="431"/>
      <c r="J108" s="431"/>
      <c r="K108" s="431"/>
      <c r="L108" s="431"/>
      <c r="M108" s="431"/>
    </row>
    <row r="109" spans="1:13">
      <c r="A109" s="431" t="s">
        <v>2232</v>
      </c>
      <c r="B109" s="464"/>
      <c r="C109" s="491"/>
      <c r="D109" s="492"/>
      <c r="E109" s="493"/>
      <c r="F109" s="431"/>
      <c r="G109" s="431"/>
      <c r="H109" s="431"/>
      <c r="I109" s="431"/>
      <c r="J109" s="431"/>
      <c r="K109" s="431"/>
      <c r="L109" s="431"/>
      <c r="M109" s="431"/>
    </row>
    <row r="110" spans="1:13">
      <c r="A110" s="431" t="s">
        <v>2232</v>
      </c>
      <c r="B110" s="464"/>
      <c r="C110" s="491"/>
      <c r="D110" s="492"/>
      <c r="E110" s="493"/>
      <c r="F110" s="431"/>
      <c r="G110" s="431"/>
      <c r="H110" s="431"/>
      <c r="I110" s="431"/>
      <c r="J110" s="431"/>
      <c r="K110" s="431"/>
      <c r="L110" s="431"/>
      <c r="M110" s="431"/>
    </row>
    <row r="111" spans="1:13">
      <c r="A111" s="431" t="s">
        <v>2232</v>
      </c>
      <c r="B111" s="464"/>
      <c r="C111" s="491"/>
      <c r="D111" s="492"/>
      <c r="E111" s="493"/>
      <c r="F111" s="431"/>
      <c r="G111" s="431"/>
      <c r="H111" s="431"/>
      <c r="I111" s="431"/>
      <c r="J111" s="431"/>
      <c r="K111" s="431"/>
      <c r="L111" s="431"/>
      <c r="M111" s="431"/>
    </row>
    <row r="112" spans="1:13">
      <c r="A112" s="431" t="s">
        <v>2232</v>
      </c>
      <c r="B112" s="464"/>
      <c r="C112" s="491"/>
      <c r="D112" s="492"/>
      <c r="E112" s="493"/>
      <c r="F112" s="431"/>
      <c r="G112" s="431"/>
      <c r="H112" s="431"/>
      <c r="I112" s="431"/>
      <c r="J112" s="431"/>
      <c r="K112" s="431"/>
      <c r="L112" s="431"/>
      <c r="M112" s="431"/>
    </row>
    <row r="113" spans="1:13">
      <c r="A113" s="431" t="s">
        <v>2232</v>
      </c>
      <c r="B113" s="464"/>
      <c r="C113" s="491"/>
      <c r="D113" s="492"/>
      <c r="E113" s="493"/>
      <c r="F113" s="431"/>
      <c r="G113" s="431"/>
      <c r="H113" s="431"/>
      <c r="I113" s="431"/>
      <c r="J113" s="431"/>
      <c r="K113" s="431"/>
      <c r="L113" s="431"/>
      <c r="M113" s="431"/>
    </row>
    <row r="114" spans="1:13">
      <c r="A114" s="431" t="s">
        <v>2232</v>
      </c>
      <c r="B114" s="464"/>
      <c r="C114" s="491"/>
      <c r="D114" s="492"/>
      <c r="E114" s="493"/>
      <c r="F114" s="431"/>
      <c r="G114" s="431"/>
      <c r="H114" s="431"/>
      <c r="I114" s="431"/>
      <c r="J114" s="431"/>
      <c r="K114" s="431"/>
      <c r="L114" s="431"/>
      <c r="M114" s="431"/>
    </row>
    <row r="115" spans="1:13">
      <c r="A115" s="431" t="s">
        <v>2232</v>
      </c>
      <c r="B115" s="464"/>
      <c r="C115" s="491"/>
      <c r="D115" s="492"/>
      <c r="E115" s="493"/>
      <c r="F115" s="431"/>
      <c r="G115" s="431"/>
      <c r="H115" s="431"/>
      <c r="I115" s="431"/>
      <c r="J115" s="431"/>
      <c r="K115" s="431"/>
      <c r="L115" s="431"/>
      <c r="M115" s="431"/>
    </row>
    <row r="116" spans="1:13">
      <c r="A116" s="431" t="s">
        <v>2232</v>
      </c>
      <c r="B116" s="464"/>
      <c r="C116" s="491"/>
      <c r="D116" s="492"/>
      <c r="E116" s="493"/>
      <c r="F116" s="431"/>
      <c r="G116" s="431"/>
      <c r="H116" s="431"/>
      <c r="I116" s="431"/>
      <c r="J116" s="431"/>
      <c r="K116" s="431"/>
      <c r="L116" s="431"/>
      <c r="M116" s="431"/>
    </row>
    <row r="117" spans="1:13">
      <c r="A117" s="431" t="s">
        <v>2232</v>
      </c>
      <c r="B117" s="464"/>
      <c r="C117" s="491"/>
      <c r="D117" s="492"/>
      <c r="E117" s="493"/>
      <c r="F117" s="431"/>
      <c r="G117" s="431"/>
      <c r="H117" s="431"/>
      <c r="I117" s="431"/>
      <c r="J117" s="431"/>
      <c r="K117" s="431"/>
      <c r="L117" s="431"/>
      <c r="M117" s="431"/>
    </row>
    <row r="118" spans="1:13">
      <c r="A118" s="431" t="s">
        <v>2232</v>
      </c>
      <c r="B118" s="464"/>
      <c r="C118" s="491"/>
      <c r="D118" s="492"/>
      <c r="E118" s="493"/>
      <c r="F118" s="431"/>
      <c r="G118" s="431"/>
      <c r="H118" s="431"/>
      <c r="I118" s="431"/>
      <c r="J118" s="431"/>
      <c r="K118" s="431"/>
      <c r="L118" s="431"/>
      <c r="M118" s="431"/>
    </row>
    <row r="119" spans="1:13">
      <c r="A119" s="431" t="s">
        <v>2232</v>
      </c>
      <c r="B119" s="464"/>
      <c r="C119" s="491"/>
      <c r="D119" s="492"/>
      <c r="E119" s="493"/>
      <c r="F119" s="431"/>
      <c r="G119" s="431"/>
      <c r="H119" s="431"/>
      <c r="I119" s="431"/>
      <c r="J119" s="431"/>
      <c r="K119" s="431"/>
      <c r="L119" s="431"/>
      <c r="M119" s="431"/>
    </row>
    <row r="120" spans="1:13">
      <c r="A120" s="431" t="s">
        <v>2232</v>
      </c>
      <c r="B120" s="464"/>
      <c r="C120" s="491"/>
      <c r="D120" s="492"/>
      <c r="E120" s="493"/>
      <c r="F120" s="431"/>
      <c r="G120" s="431"/>
      <c r="H120" s="431"/>
      <c r="I120" s="431"/>
      <c r="J120" s="431"/>
      <c r="K120" s="431"/>
      <c r="L120" s="431"/>
      <c r="M120" s="431"/>
    </row>
    <row r="121" spans="1:13">
      <c r="A121" s="431" t="s">
        <v>2232</v>
      </c>
      <c r="B121" s="464"/>
      <c r="C121" s="491"/>
      <c r="D121" s="492"/>
      <c r="E121" s="493"/>
      <c r="F121" s="431"/>
      <c r="G121" s="431"/>
      <c r="H121" s="431"/>
      <c r="I121" s="431"/>
      <c r="J121" s="431"/>
      <c r="K121" s="431"/>
      <c r="L121" s="431"/>
      <c r="M121" s="431"/>
    </row>
    <row r="122" spans="1:13">
      <c r="A122" s="431" t="s">
        <v>2232</v>
      </c>
      <c r="B122" s="464"/>
      <c r="C122" s="491"/>
      <c r="D122" s="492"/>
      <c r="E122" s="493"/>
      <c r="F122" s="431"/>
      <c r="G122" s="431"/>
      <c r="H122" s="431"/>
      <c r="I122" s="431"/>
      <c r="J122" s="431"/>
      <c r="K122" s="431"/>
      <c r="L122" s="431"/>
      <c r="M122" s="431"/>
    </row>
    <row r="123" spans="1:13">
      <c r="A123" s="431" t="s">
        <v>2232</v>
      </c>
      <c r="B123" s="464"/>
      <c r="C123" s="491"/>
      <c r="D123" s="492"/>
      <c r="E123" s="493"/>
      <c r="F123" s="431"/>
      <c r="G123" s="431"/>
      <c r="H123" s="431"/>
      <c r="I123" s="431"/>
      <c r="J123" s="431"/>
      <c r="K123" s="431"/>
      <c r="L123" s="431"/>
      <c r="M123" s="431"/>
    </row>
    <row r="124" spans="1:13">
      <c r="A124" s="431" t="s">
        <v>2232</v>
      </c>
      <c r="B124" s="464"/>
      <c r="C124" s="491"/>
      <c r="D124" s="492"/>
      <c r="E124" s="493"/>
      <c r="F124" s="431"/>
      <c r="G124" s="431"/>
      <c r="H124" s="431"/>
      <c r="I124" s="431"/>
      <c r="J124" s="431"/>
      <c r="K124" s="431"/>
      <c r="L124" s="431"/>
      <c r="M124" s="431"/>
    </row>
    <row r="125" spans="1:13">
      <c r="A125" s="431" t="s">
        <v>2232</v>
      </c>
      <c r="B125" s="464"/>
      <c r="C125" s="491"/>
      <c r="D125" s="492"/>
      <c r="E125" s="493"/>
      <c r="F125" s="431"/>
      <c r="G125" s="431"/>
      <c r="H125" s="431"/>
      <c r="I125" s="431"/>
      <c r="J125" s="431"/>
      <c r="K125" s="431"/>
      <c r="L125" s="431"/>
      <c r="M125" s="431"/>
    </row>
    <row r="126" spans="1:13">
      <c r="A126" s="431" t="s">
        <v>2232</v>
      </c>
      <c r="B126" s="464"/>
      <c r="C126" s="491"/>
      <c r="D126" s="492"/>
      <c r="E126" s="493"/>
      <c r="F126" s="431"/>
      <c r="G126" s="431"/>
      <c r="H126" s="431"/>
      <c r="I126" s="431"/>
      <c r="J126" s="431"/>
      <c r="K126" s="431"/>
      <c r="L126" s="431"/>
      <c r="M126" s="431"/>
    </row>
    <row r="127" spans="1:13">
      <c r="A127" s="431" t="s">
        <v>2232</v>
      </c>
      <c r="B127" s="464"/>
      <c r="C127" s="491"/>
      <c r="D127" s="492"/>
      <c r="E127" s="493"/>
      <c r="F127" s="431"/>
      <c r="G127" s="431"/>
      <c r="H127" s="431"/>
      <c r="I127" s="431"/>
      <c r="J127" s="431"/>
      <c r="K127" s="431"/>
      <c r="L127" s="431"/>
      <c r="M127" s="431"/>
    </row>
    <row r="128" spans="1:13">
      <c r="A128" s="431" t="s">
        <v>2232</v>
      </c>
      <c r="B128" s="464"/>
      <c r="C128" s="491"/>
      <c r="D128" s="492"/>
      <c r="E128" s="493"/>
      <c r="F128" s="431"/>
      <c r="G128" s="431"/>
      <c r="H128" s="431"/>
      <c r="I128" s="431"/>
      <c r="J128" s="431"/>
      <c r="K128" s="431"/>
      <c r="L128" s="431"/>
      <c r="M128" s="431"/>
    </row>
    <row r="129" spans="1:13">
      <c r="A129" s="431" t="s">
        <v>2232</v>
      </c>
      <c r="B129" s="464"/>
      <c r="C129" s="491"/>
      <c r="D129" s="492"/>
      <c r="E129" s="493"/>
      <c r="F129" s="431"/>
      <c r="G129" s="431"/>
      <c r="H129" s="431"/>
      <c r="I129" s="431"/>
      <c r="J129" s="431"/>
      <c r="K129" s="431"/>
      <c r="L129" s="431"/>
      <c r="M129" s="431"/>
    </row>
    <row r="130" spans="1:13">
      <c r="A130" s="431" t="s">
        <v>2232</v>
      </c>
      <c r="B130" s="464"/>
      <c r="C130" s="491"/>
      <c r="D130" s="492"/>
      <c r="E130" s="493"/>
      <c r="F130" s="431"/>
      <c r="G130" s="431"/>
      <c r="H130" s="431"/>
      <c r="I130" s="431"/>
      <c r="J130" s="431"/>
      <c r="K130" s="431"/>
      <c r="L130" s="431"/>
      <c r="M130" s="431"/>
    </row>
    <row r="131" spans="1:13">
      <c r="A131" s="431" t="s">
        <v>2232</v>
      </c>
      <c r="B131" s="464"/>
      <c r="C131" s="491"/>
      <c r="D131" s="492"/>
      <c r="E131" s="493"/>
      <c r="F131" s="431"/>
      <c r="G131" s="431"/>
      <c r="H131" s="431"/>
      <c r="I131" s="431"/>
      <c r="J131" s="431"/>
      <c r="K131" s="431"/>
      <c r="L131" s="431"/>
      <c r="M131" s="431"/>
    </row>
    <row r="132" spans="1:13">
      <c r="A132" s="431" t="s">
        <v>2232</v>
      </c>
      <c r="B132" s="464"/>
      <c r="C132" s="491"/>
      <c r="D132" s="492"/>
      <c r="E132" s="493"/>
      <c r="F132" s="431"/>
      <c r="G132" s="431"/>
      <c r="H132" s="431"/>
      <c r="I132" s="431"/>
      <c r="J132" s="431"/>
      <c r="K132" s="431"/>
      <c r="L132" s="431"/>
      <c r="M132" s="431"/>
    </row>
    <row r="133" spans="1:13">
      <c r="A133" s="431" t="s">
        <v>2232</v>
      </c>
      <c r="B133" s="464"/>
      <c r="C133" s="491"/>
      <c r="D133" s="492"/>
      <c r="E133" s="493"/>
      <c r="F133" s="431"/>
      <c r="G133" s="431"/>
      <c r="H133" s="431"/>
      <c r="I133" s="431"/>
      <c r="J133" s="431"/>
      <c r="K133" s="431"/>
      <c r="L133" s="431"/>
      <c r="M133" s="431"/>
    </row>
    <row r="134" spans="1:13">
      <c r="A134" s="431" t="s">
        <v>2232</v>
      </c>
      <c r="B134" s="464"/>
      <c r="C134" s="491"/>
      <c r="D134" s="492"/>
      <c r="E134" s="493"/>
      <c r="F134" s="431"/>
      <c r="G134" s="431"/>
      <c r="H134" s="431"/>
      <c r="I134" s="431"/>
      <c r="J134" s="431"/>
      <c r="K134" s="431"/>
      <c r="L134" s="431"/>
      <c r="M134" s="431"/>
    </row>
    <row r="135" spans="1:13">
      <c r="A135" s="431" t="s">
        <v>2232</v>
      </c>
      <c r="B135" s="464"/>
      <c r="C135" s="491"/>
      <c r="D135" s="492"/>
      <c r="E135" s="493"/>
      <c r="F135" s="431"/>
      <c r="G135" s="431"/>
      <c r="H135" s="431"/>
      <c r="I135" s="431"/>
      <c r="J135" s="431"/>
      <c r="K135" s="431"/>
      <c r="L135" s="431"/>
      <c r="M135" s="431"/>
    </row>
    <row r="136" spans="1:13">
      <c r="A136" s="431" t="s">
        <v>2232</v>
      </c>
      <c r="B136" s="464"/>
      <c r="C136" s="491"/>
      <c r="D136" s="492"/>
      <c r="E136" s="493"/>
      <c r="F136" s="431"/>
      <c r="G136" s="431"/>
      <c r="H136" s="431"/>
      <c r="I136" s="431"/>
      <c r="J136" s="431"/>
      <c r="K136" s="431"/>
      <c r="L136" s="431"/>
      <c r="M136" s="431"/>
    </row>
    <row r="137" spans="1:13">
      <c r="A137" s="431" t="s">
        <v>2232</v>
      </c>
      <c r="B137" s="464"/>
      <c r="C137" s="491"/>
      <c r="D137" s="492"/>
      <c r="E137" s="493"/>
      <c r="F137" s="431"/>
      <c r="G137" s="431"/>
      <c r="H137" s="431"/>
      <c r="I137" s="431"/>
      <c r="J137" s="431"/>
      <c r="K137" s="431"/>
      <c r="L137" s="431"/>
      <c r="M137" s="431"/>
    </row>
    <row r="138" spans="1:13">
      <c r="A138" s="431" t="s">
        <v>2232</v>
      </c>
      <c r="B138" s="464"/>
      <c r="C138" s="491"/>
      <c r="D138" s="492"/>
      <c r="E138" s="493"/>
      <c r="F138" s="431"/>
      <c r="G138" s="431"/>
      <c r="H138" s="431"/>
      <c r="I138" s="431"/>
      <c r="J138" s="431"/>
      <c r="K138" s="431"/>
      <c r="L138" s="431"/>
      <c r="M138" s="431"/>
    </row>
    <row r="139" spans="1:13">
      <c r="A139" s="431" t="s">
        <v>2232</v>
      </c>
      <c r="B139" s="464"/>
      <c r="C139" s="491"/>
      <c r="D139" s="492"/>
      <c r="E139" s="493"/>
      <c r="F139" s="431"/>
      <c r="G139" s="431"/>
      <c r="H139" s="431"/>
      <c r="I139" s="431"/>
      <c r="J139" s="431"/>
      <c r="K139" s="431"/>
      <c r="L139" s="431"/>
      <c r="M139" s="431"/>
    </row>
    <row r="140" spans="1:13">
      <c r="A140" s="431" t="s">
        <v>2232</v>
      </c>
      <c r="B140" s="464"/>
      <c r="C140" s="491"/>
      <c r="D140" s="492"/>
      <c r="E140" s="493"/>
      <c r="F140" s="431"/>
      <c r="G140" s="431"/>
      <c r="H140" s="431"/>
      <c r="I140" s="431"/>
      <c r="J140" s="431"/>
      <c r="K140" s="431"/>
      <c r="L140" s="431"/>
      <c r="M140" s="431"/>
    </row>
    <row r="141" spans="1:13">
      <c r="A141" s="431" t="s">
        <v>2232</v>
      </c>
      <c r="B141" s="464"/>
      <c r="C141" s="491"/>
      <c r="D141" s="492"/>
      <c r="E141" s="493"/>
      <c r="F141" s="431"/>
      <c r="G141" s="431"/>
      <c r="H141" s="431"/>
      <c r="I141" s="431"/>
      <c r="J141" s="431"/>
      <c r="K141" s="431"/>
      <c r="L141" s="431"/>
      <c r="M141" s="431"/>
    </row>
    <row r="142" spans="1:13">
      <c r="A142" s="431" t="s">
        <v>2232</v>
      </c>
      <c r="B142" s="464"/>
      <c r="C142" s="491"/>
      <c r="D142" s="492"/>
      <c r="E142" s="493"/>
      <c r="F142" s="431"/>
      <c r="G142" s="431"/>
      <c r="H142" s="431"/>
      <c r="I142" s="431"/>
      <c r="J142" s="431"/>
      <c r="K142" s="431"/>
      <c r="L142" s="431"/>
      <c r="M142" s="431"/>
    </row>
    <row r="143" spans="1:13">
      <c r="A143" s="431" t="s">
        <v>2232</v>
      </c>
      <c r="B143" s="464"/>
      <c r="C143" s="491"/>
      <c r="D143" s="492"/>
      <c r="E143" s="493"/>
      <c r="F143" s="431"/>
      <c r="G143" s="431"/>
      <c r="H143" s="431"/>
      <c r="I143" s="431"/>
      <c r="J143" s="431"/>
      <c r="K143" s="431"/>
      <c r="L143" s="431"/>
      <c r="M143" s="431"/>
    </row>
    <row r="144" spans="1:13">
      <c r="A144" s="431" t="s">
        <v>2232</v>
      </c>
      <c r="B144" s="464"/>
      <c r="C144" s="491"/>
      <c r="D144" s="492"/>
      <c r="E144" s="493"/>
      <c r="F144" s="431"/>
      <c r="G144" s="431"/>
      <c r="H144" s="431"/>
      <c r="I144" s="431"/>
      <c r="J144" s="431"/>
      <c r="K144" s="431"/>
      <c r="L144" s="431"/>
      <c r="M144" s="431"/>
    </row>
    <row r="145" spans="1:13">
      <c r="A145" s="431" t="s">
        <v>2232</v>
      </c>
      <c r="B145" s="464"/>
      <c r="C145" s="491"/>
      <c r="D145" s="492"/>
      <c r="E145" s="493"/>
      <c r="F145" s="431"/>
      <c r="G145" s="431"/>
      <c r="H145" s="431"/>
      <c r="I145" s="431"/>
      <c r="J145" s="431"/>
      <c r="K145" s="431"/>
      <c r="L145" s="431"/>
      <c r="M145" s="431"/>
    </row>
    <row r="146" spans="1:13">
      <c r="A146" s="431" t="s">
        <v>2232</v>
      </c>
      <c r="B146" s="464"/>
      <c r="C146" s="491"/>
      <c r="D146" s="492"/>
      <c r="E146" s="493"/>
      <c r="F146" s="431"/>
      <c r="G146" s="431"/>
      <c r="H146" s="431" t="s">
        <v>2232</v>
      </c>
      <c r="I146" s="431"/>
      <c r="J146" s="431"/>
      <c r="K146" s="431"/>
      <c r="L146" s="431"/>
      <c r="M146" s="431" t="s">
        <v>2232</v>
      </c>
    </row>
    <row r="147" spans="1:13">
      <c r="A147" s="431" t="s">
        <v>2232</v>
      </c>
      <c r="B147" s="464"/>
      <c r="C147" s="491"/>
      <c r="D147" s="492"/>
      <c r="E147" s="493"/>
      <c r="F147" s="431"/>
      <c r="G147" s="431"/>
      <c r="H147" s="431"/>
      <c r="I147" s="431"/>
      <c r="J147" s="431"/>
      <c r="K147" s="431"/>
      <c r="L147" s="431"/>
      <c r="M147" s="431"/>
    </row>
    <row r="148" spans="1:13">
      <c r="A148" s="431" t="s">
        <v>2232</v>
      </c>
      <c r="B148" s="464"/>
      <c r="C148" s="491"/>
      <c r="D148" s="492"/>
      <c r="E148" s="493"/>
      <c r="F148" s="431"/>
      <c r="G148" s="431"/>
      <c r="H148" s="431"/>
      <c r="I148" s="431"/>
      <c r="J148" s="431"/>
      <c r="K148" s="431"/>
      <c r="L148" s="431"/>
      <c r="M148" s="431"/>
    </row>
    <row r="149" spans="1:13">
      <c r="A149" s="431" t="s">
        <v>2232</v>
      </c>
      <c r="B149" s="464"/>
      <c r="C149" s="491"/>
      <c r="D149" s="492"/>
      <c r="E149" s="493"/>
      <c r="F149" s="431"/>
      <c r="G149" s="431"/>
      <c r="H149" s="431"/>
      <c r="I149" s="431"/>
      <c r="J149" s="431"/>
      <c r="K149" s="431"/>
      <c r="L149" s="431"/>
      <c r="M149" s="431"/>
    </row>
    <row r="150" spans="1:13">
      <c r="A150" s="431" t="s">
        <v>2232</v>
      </c>
      <c r="B150" s="464"/>
      <c r="C150" s="491"/>
      <c r="D150" s="492"/>
      <c r="E150" s="493"/>
      <c r="F150" s="431"/>
      <c r="G150" s="431"/>
      <c r="H150" s="431"/>
      <c r="I150" s="431"/>
      <c r="J150" s="431"/>
      <c r="K150" s="431"/>
      <c r="L150" s="431"/>
      <c r="M150" s="431"/>
    </row>
    <row r="151" spans="1:13" s="313" customFormat="1" ht="13.5" thickBot="1">
      <c r="A151" s="431"/>
      <c r="B151" s="469"/>
      <c r="C151" s="494"/>
      <c r="D151" s="495"/>
      <c r="E151" s="496"/>
      <c r="F151" s="431"/>
      <c r="G151" s="431"/>
      <c r="H151" s="431"/>
      <c r="I151" s="431"/>
      <c r="J151" s="431"/>
      <c r="K151" s="431"/>
      <c r="L151" s="431"/>
      <c r="M151" s="431"/>
    </row>
    <row r="152" spans="1:13" s="313" customFormat="1">
      <c r="A152" s="431" t="s">
        <v>2232</v>
      </c>
      <c r="B152" s="431" t="s">
        <v>2232</v>
      </c>
      <c r="C152" s="431" t="s">
        <v>2232</v>
      </c>
      <c r="D152" s="431" t="s">
        <v>2232</v>
      </c>
      <c r="E152" s="431" t="s">
        <v>2232</v>
      </c>
      <c r="F152" s="431" t="s">
        <v>2232</v>
      </c>
      <c r="G152" s="431" t="s">
        <v>2232</v>
      </c>
      <c r="H152" s="431"/>
      <c r="I152" s="431"/>
      <c r="J152" s="431"/>
      <c r="K152" s="431"/>
      <c r="L152" s="431"/>
      <c r="M152" s="431"/>
    </row>
    <row r="153" spans="1:13" s="313" customFormat="1"/>
    <row r="154" spans="1:13" s="313" customFormat="1"/>
    <row r="155" spans="1:13" s="313" customFormat="1"/>
    <row r="156" spans="1:13" s="313" customFormat="1"/>
    <row r="157" spans="1:13" s="313" customFormat="1"/>
    <row r="158" spans="1:13" s="313" customFormat="1"/>
    <row r="159" spans="1:13" s="313" customFormat="1"/>
    <row r="160" spans="1:13" s="313" customFormat="1"/>
    <row r="161" s="313" customFormat="1"/>
    <row r="162" s="313" customFormat="1"/>
    <row r="163" s="313" customFormat="1"/>
    <row r="164" s="313" customFormat="1"/>
    <row r="165" s="313" customFormat="1"/>
    <row r="166" s="313" customFormat="1"/>
    <row r="167" s="313" customFormat="1"/>
    <row r="168" s="313" customFormat="1"/>
    <row r="169" s="313" customFormat="1"/>
    <row r="170" s="313" customFormat="1"/>
    <row r="171" s="313" customFormat="1"/>
    <row r="172" s="313" customFormat="1"/>
    <row r="173" s="313" customFormat="1"/>
    <row r="174" s="313" customFormat="1"/>
    <row r="175" s="313" customFormat="1"/>
    <row r="176" s="313" customFormat="1"/>
    <row r="177" s="313" customFormat="1"/>
    <row r="178" s="313" customFormat="1"/>
    <row r="179" s="313" customFormat="1"/>
    <row r="180" s="313" customFormat="1"/>
    <row r="181" s="313" customFormat="1"/>
    <row r="182" s="313" customFormat="1"/>
    <row r="183" s="313" customFormat="1"/>
    <row r="184" s="313" customFormat="1"/>
    <row r="185" s="313" customFormat="1"/>
    <row r="186" s="313" customFormat="1"/>
    <row r="187" s="313" customFormat="1"/>
    <row r="188" s="313" customFormat="1"/>
    <row r="189" s="313" customFormat="1"/>
    <row r="190" s="313" customFormat="1"/>
    <row r="191" s="313" customFormat="1"/>
    <row r="192" s="313" customFormat="1"/>
    <row r="193" s="313" customFormat="1"/>
    <row r="194" s="313" customFormat="1"/>
    <row r="195" s="313" customFormat="1"/>
    <row r="196" s="313" customFormat="1"/>
    <row r="197" s="313" customFormat="1"/>
    <row r="198" s="313" customFormat="1"/>
    <row r="199" s="313" customFormat="1"/>
    <row r="200" s="313" customFormat="1"/>
    <row r="201" s="313" customFormat="1"/>
    <row r="202" s="313" customFormat="1"/>
    <row r="203" s="313" customFormat="1"/>
    <row r="204" s="313" customFormat="1"/>
    <row r="205" s="313" customFormat="1"/>
    <row r="206" s="313" customFormat="1"/>
    <row r="207" s="313" customFormat="1"/>
    <row r="208" s="313" customFormat="1"/>
    <row r="209" s="313" customFormat="1"/>
    <row r="210" s="313" customFormat="1"/>
    <row r="211" s="313" customFormat="1"/>
    <row r="212" s="313" customFormat="1"/>
    <row r="213" s="313" customFormat="1"/>
    <row r="214" s="313" customFormat="1"/>
    <row r="215" s="313" customFormat="1"/>
    <row r="216" s="313" customFormat="1"/>
    <row r="217" s="313" customFormat="1"/>
    <row r="218" s="313" customFormat="1"/>
    <row r="219" s="313" customFormat="1"/>
    <row r="220" s="313" customFormat="1"/>
    <row r="221" s="313" customFormat="1"/>
    <row r="222" s="313" customFormat="1"/>
    <row r="223" s="313" customFormat="1"/>
    <row r="224" s="313" customFormat="1"/>
    <row r="225" s="313" customFormat="1"/>
    <row r="226" s="313" customFormat="1"/>
    <row r="227" s="313" customFormat="1"/>
    <row r="228" s="313" customFormat="1"/>
    <row r="229" s="313" customFormat="1"/>
    <row r="230" s="313" customFormat="1"/>
    <row r="231" s="313" customFormat="1"/>
    <row r="232" s="313" customFormat="1"/>
    <row r="233" s="313" customFormat="1"/>
    <row r="234" s="313" customFormat="1"/>
    <row r="235" s="313" customFormat="1"/>
    <row r="236" s="313" customFormat="1"/>
    <row r="237" s="313" customFormat="1"/>
    <row r="238" s="313" customFormat="1"/>
    <row r="239" s="313" customFormat="1"/>
    <row r="240" s="313" customFormat="1"/>
    <row r="241" s="313" customFormat="1"/>
    <row r="242" s="313" customFormat="1"/>
    <row r="243" s="313" customFormat="1"/>
    <row r="244" s="313" customFormat="1"/>
    <row r="245" s="313" customFormat="1"/>
    <row r="246" s="313" customFormat="1"/>
    <row r="247" s="313" customFormat="1"/>
    <row r="248" s="313" customFormat="1"/>
    <row r="249" s="313" customFormat="1"/>
    <row r="250" s="313" customFormat="1"/>
    <row r="251" s="313" customFormat="1"/>
    <row r="252" s="313" customFormat="1"/>
    <row r="253" s="313" customFormat="1"/>
    <row r="254" s="313" customFormat="1"/>
    <row r="255" s="313" customFormat="1"/>
    <row r="256" s="313" customFormat="1"/>
    <row r="257" s="313" customFormat="1"/>
    <row r="258" s="313" customFormat="1"/>
    <row r="259" s="313" customFormat="1"/>
    <row r="260" s="313" customFormat="1"/>
    <row r="261" s="313" customFormat="1"/>
    <row r="262" s="313" customFormat="1"/>
    <row r="263" s="313" customFormat="1"/>
    <row r="264" s="313" customFormat="1"/>
    <row r="265" s="313" customFormat="1"/>
    <row r="266" s="313" customFormat="1"/>
    <row r="267" s="313" customFormat="1"/>
    <row r="268" s="313" customFormat="1"/>
    <row r="269" s="313" customFormat="1"/>
    <row r="270" s="313" customFormat="1"/>
    <row r="271" s="313" customFormat="1"/>
    <row r="272" s="313" customFormat="1"/>
    <row r="273" s="313" customFormat="1"/>
    <row r="274" s="313" customFormat="1"/>
    <row r="275" s="313" customFormat="1"/>
    <row r="276" s="313" customFormat="1"/>
    <row r="277" s="313" customFormat="1"/>
    <row r="278" s="313" customFormat="1"/>
    <row r="279" s="313" customFormat="1"/>
    <row r="280" s="313" customFormat="1"/>
    <row r="281" s="313" customFormat="1"/>
    <row r="282" s="313" customFormat="1"/>
    <row r="283" s="313" customFormat="1"/>
    <row r="284" s="313" customFormat="1"/>
    <row r="285" s="313" customFormat="1"/>
    <row r="286" s="313" customFormat="1"/>
    <row r="287" s="313" customFormat="1"/>
    <row r="288" s="313" customFormat="1"/>
    <row r="289" s="313" customFormat="1"/>
    <row r="290" s="313" customFormat="1"/>
    <row r="291" s="313" customFormat="1"/>
    <row r="292" s="313" customFormat="1"/>
    <row r="293" s="313" customFormat="1"/>
    <row r="294" s="313" customFormat="1"/>
    <row r="295" s="313" customFormat="1"/>
    <row r="296" s="313" customFormat="1"/>
    <row r="297" s="313" customFormat="1"/>
    <row r="298" s="313" customFormat="1"/>
    <row r="299" s="313" customFormat="1"/>
    <row r="300" s="313" customFormat="1"/>
    <row r="301" s="313" customFormat="1"/>
    <row r="302" s="313" customFormat="1"/>
    <row r="303" s="313" customFormat="1"/>
    <row r="304" s="313" customFormat="1"/>
    <row r="305" s="313" customFormat="1"/>
    <row r="306" s="313" customFormat="1"/>
    <row r="307" s="313" customFormat="1"/>
    <row r="308" s="313" customFormat="1"/>
    <row r="309" s="313" customFormat="1"/>
    <row r="310" s="313" customFormat="1"/>
    <row r="311" s="313" customFormat="1"/>
    <row r="312" s="313" customFormat="1"/>
    <row r="313" s="313" customFormat="1"/>
    <row r="314" s="313" customFormat="1"/>
    <row r="315" s="313" customFormat="1"/>
    <row r="316" s="313" customFormat="1"/>
    <row r="317" s="313" customFormat="1"/>
    <row r="318" s="313" customFormat="1"/>
    <row r="319" s="313" customFormat="1"/>
    <row r="320" s="313" customFormat="1"/>
    <row r="321" s="313" customFormat="1"/>
    <row r="322" s="313" customFormat="1"/>
    <row r="323" s="313" customFormat="1"/>
    <row r="324" s="313" customFormat="1"/>
    <row r="325" s="313" customFormat="1"/>
    <row r="326" s="313" customFormat="1"/>
    <row r="327" s="313" customFormat="1"/>
    <row r="328" s="313" customFormat="1"/>
    <row r="329" s="313" customFormat="1"/>
    <row r="330" s="313" customFormat="1"/>
    <row r="331" s="313" customFormat="1"/>
    <row r="332" s="313" customFormat="1"/>
    <row r="333" s="313" customFormat="1"/>
    <row r="334" s="313" customFormat="1"/>
    <row r="335" s="313" customFormat="1"/>
    <row r="336" s="313" customFormat="1"/>
    <row r="337" s="313" customFormat="1"/>
    <row r="338" s="313" customFormat="1"/>
    <row r="339" s="313" customFormat="1"/>
    <row r="340" s="313" customFormat="1"/>
    <row r="341" s="313" customFormat="1"/>
    <row r="342" s="313" customFormat="1"/>
    <row r="343" s="313" customFormat="1"/>
    <row r="344" s="313" customFormat="1"/>
    <row r="345" s="313" customFormat="1"/>
    <row r="346" s="313" customFormat="1"/>
    <row r="347" s="313" customFormat="1"/>
    <row r="348" s="313" customFormat="1"/>
    <row r="349" s="313" customFormat="1"/>
    <row r="350" s="313" customFormat="1"/>
    <row r="351" s="313" customFormat="1"/>
    <row r="352" s="313" customFormat="1"/>
    <row r="353" s="313" customFormat="1"/>
    <row r="354" s="313" customFormat="1"/>
    <row r="355" s="313" customFormat="1"/>
    <row r="356" s="313" customFormat="1"/>
    <row r="357" s="313" customFormat="1"/>
    <row r="358" s="313" customFormat="1"/>
    <row r="359" s="313" customFormat="1"/>
    <row r="360" s="313" customFormat="1"/>
    <row r="361" s="313" customFormat="1"/>
    <row r="362" s="313" customFormat="1"/>
    <row r="363" s="313" customFormat="1"/>
    <row r="364" s="313" customFormat="1"/>
    <row r="365" s="313" customFormat="1"/>
    <row r="366" s="313" customFormat="1"/>
    <row r="367" s="313" customFormat="1"/>
    <row r="368" s="313" customFormat="1"/>
    <row r="369" s="313" customFormat="1"/>
    <row r="370" s="313" customFormat="1"/>
    <row r="371" s="313" customFormat="1"/>
    <row r="372" s="313" customFormat="1"/>
    <row r="373" s="313" customFormat="1"/>
    <row r="374" s="313" customFormat="1"/>
    <row r="375" s="313" customFormat="1"/>
    <row r="376" s="313" customFormat="1"/>
    <row r="377" s="313" customFormat="1"/>
    <row r="378" s="313" customFormat="1"/>
    <row r="379" s="313" customFormat="1"/>
    <row r="380" s="313" customFormat="1"/>
    <row r="381" s="313" customFormat="1"/>
    <row r="382" s="313" customFormat="1"/>
    <row r="383" s="313" customFormat="1"/>
    <row r="384" s="313" customFormat="1"/>
    <row r="385" s="313" customFormat="1"/>
    <row r="386" s="313" customFormat="1"/>
    <row r="387" s="313" customFormat="1"/>
    <row r="388" s="313" customFormat="1"/>
    <row r="389" s="313" customFormat="1"/>
    <row r="390" s="313" customFormat="1"/>
    <row r="391" s="313" customFormat="1"/>
    <row r="392" s="313" customFormat="1"/>
    <row r="393" s="313" customFormat="1"/>
    <row r="394" s="313" customFormat="1"/>
    <row r="395" s="313" customFormat="1"/>
    <row r="396" s="313" customFormat="1"/>
    <row r="397" s="313" customFormat="1"/>
    <row r="398" s="313" customFormat="1"/>
    <row r="399" s="313" customFormat="1"/>
    <row r="400" s="313" customFormat="1"/>
    <row r="401" s="313" customFormat="1"/>
    <row r="402" s="313" customFormat="1"/>
    <row r="403" s="313" customFormat="1"/>
    <row r="404" s="313" customFormat="1"/>
    <row r="405" s="313" customFormat="1"/>
    <row r="406" s="313" customFormat="1"/>
    <row r="407" s="313" customFormat="1"/>
    <row r="408" s="313" customFormat="1"/>
    <row r="409" s="313" customFormat="1"/>
    <row r="410" s="313" customFormat="1"/>
    <row r="411" s="313" customFormat="1"/>
    <row r="412" s="313" customFormat="1"/>
    <row r="413" s="313" customFormat="1"/>
    <row r="414" s="313" customFormat="1"/>
    <row r="415" s="313" customFormat="1"/>
    <row r="416" s="313" customFormat="1"/>
    <row r="417" s="313" customFormat="1"/>
    <row r="418" s="313" customFormat="1"/>
    <row r="419" s="313" customFormat="1"/>
    <row r="420" s="313" customFormat="1"/>
    <row r="421" s="313" customFormat="1"/>
    <row r="422" s="313" customFormat="1"/>
    <row r="423" s="313" customFormat="1"/>
    <row r="424" s="313" customFormat="1"/>
    <row r="425" s="313" customFormat="1"/>
    <row r="426" s="313" customFormat="1"/>
    <row r="427" s="313" customFormat="1"/>
    <row r="428" s="313" customFormat="1"/>
    <row r="429" s="313" customFormat="1"/>
    <row r="430" s="313" customFormat="1"/>
    <row r="431" s="313" customFormat="1"/>
    <row r="432" s="313" customFormat="1"/>
    <row r="433" s="313" customFormat="1"/>
    <row r="434" s="313" customFormat="1"/>
    <row r="435" s="313" customFormat="1"/>
    <row r="436" s="313" customFormat="1"/>
    <row r="437" s="313" customFormat="1"/>
    <row r="438" s="313" customFormat="1"/>
    <row r="439" s="313" customFormat="1"/>
    <row r="440" s="313" customFormat="1"/>
    <row r="441" s="313" customFormat="1"/>
    <row r="442" s="313" customFormat="1"/>
    <row r="443" s="313" customFormat="1"/>
    <row r="444" s="313" customFormat="1"/>
    <row r="445" s="313" customFormat="1"/>
    <row r="446" s="313" customFormat="1"/>
    <row r="447" s="313" customFormat="1"/>
    <row r="448" s="313" customFormat="1"/>
    <row r="449" s="313" customFormat="1"/>
    <row r="450" s="313" customFormat="1"/>
    <row r="451" s="313" customFormat="1"/>
    <row r="452" s="313" customFormat="1"/>
    <row r="453" s="313" customFormat="1"/>
    <row r="454" s="313" customFormat="1"/>
    <row r="455" s="313" customFormat="1"/>
    <row r="456" s="313" customFormat="1"/>
    <row r="457" s="313" customFormat="1"/>
    <row r="458" s="313" customFormat="1"/>
    <row r="459" s="313" customFormat="1"/>
    <row r="460" s="313" customFormat="1"/>
    <row r="461" s="313" customFormat="1"/>
    <row r="462" s="313" customFormat="1"/>
    <row r="463" s="313" customFormat="1"/>
    <row r="464" s="313" customFormat="1"/>
    <row r="465" s="313" customFormat="1"/>
    <row r="466" s="313" customFormat="1"/>
    <row r="467" s="313" customFormat="1"/>
    <row r="468" s="313" customFormat="1"/>
    <row r="469" s="313" customFormat="1"/>
    <row r="470" s="313" customFormat="1"/>
    <row r="471" s="313" customFormat="1"/>
    <row r="472" s="313" customFormat="1"/>
    <row r="473" s="313" customFormat="1"/>
    <row r="474" s="313" customFormat="1"/>
    <row r="475" s="313" customFormat="1"/>
    <row r="476" s="313" customFormat="1"/>
    <row r="477" s="313" customFormat="1"/>
    <row r="478" s="313" customFormat="1"/>
    <row r="479" s="313" customFormat="1"/>
    <row r="480" s="313" customFormat="1"/>
    <row r="481" s="313" customFormat="1"/>
    <row r="482" s="313" customFormat="1"/>
    <row r="483" s="313" customFormat="1"/>
    <row r="484" s="313" customFormat="1"/>
    <row r="485" s="313" customFormat="1"/>
    <row r="486" s="313" customFormat="1"/>
    <row r="487" s="313" customFormat="1"/>
    <row r="488" s="313" customFormat="1"/>
    <row r="489" s="313" customFormat="1"/>
    <row r="490" s="313" customFormat="1"/>
    <row r="491" s="313" customFormat="1"/>
    <row r="492" s="313" customFormat="1"/>
    <row r="493" s="313" customFormat="1"/>
    <row r="494" s="313" customFormat="1"/>
    <row r="495" s="313" customFormat="1"/>
    <row r="496" s="313" customFormat="1"/>
    <row r="497" s="313" customFormat="1"/>
    <row r="498" s="313" customFormat="1"/>
    <row r="499" s="313" customFormat="1"/>
    <row r="500" s="313" customFormat="1"/>
    <row r="501" s="313" customFormat="1"/>
    <row r="502" s="313" customFormat="1"/>
    <row r="503" s="313" customFormat="1"/>
    <row r="504" s="313" customFormat="1"/>
    <row r="505" s="313" customFormat="1"/>
    <row r="506" s="313" customFormat="1"/>
    <row r="507" s="313" customFormat="1"/>
    <row r="508" s="313" customFormat="1"/>
    <row r="509" s="313" customFormat="1"/>
    <row r="510" s="313" customFormat="1"/>
    <row r="511" s="313" customFormat="1"/>
    <row r="512" s="313" customFormat="1"/>
    <row r="513" s="313" customFormat="1"/>
    <row r="514" s="313" customFormat="1"/>
    <row r="515" s="313" customFormat="1"/>
    <row r="516" s="313" customFormat="1"/>
    <row r="517" s="313" customFormat="1"/>
    <row r="518" s="313" customFormat="1"/>
    <row r="519" s="313" customFormat="1"/>
    <row r="520" s="313" customFormat="1"/>
    <row r="521" s="313" customFormat="1"/>
    <row r="522" s="313" customFormat="1"/>
    <row r="523" s="313" customFormat="1"/>
    <row r="524" s="313" customFormat="1"/>
    <row r="525" s="313" customFormat="1"/>
    <row r="526" s="313" customFormat="1"/>
    <row r="527" s="313" customFormat="1"/>
    <row r="528" s="313" customFormat="1"/>
    <row r="529" s="313" customFormat="1"/>
    <row r="530" s="313" customFormat="1"/>
    <row r="531" s="313" customFormat="1"/>
    <row r="532" s="313" customFormat="1"/>
    <row r="533" s="313" customFormat="1"/>
    <row r="534" s="313" customFormat="1"/>
    <row r="535" s="313" customFormat="1"/>
    <row r="536" s="313" customFormat="1"/>
    <row r="537" s="313" customFormat="1"/>
    <row r="538" s="313" customFormat="1"/>
    <row r="539" s="313" customFormat="1"/>
    <row r="540" s="313" customFormat="1"/>
    <row r="541" s="313" customFormat="1"/>
    <row r="542" s="313" customFormat="1"/>
    <row r="543" s="313" customFormat="1"/>
    <row r="544" s="313" customFormat="1"/>
    <row r="545" spans="2:13" s="313" customFormat="1"/>
    <row r="546" spans="2:13" s="313" customFormat="1"/>
    <row r="547" spans="2:13" s="313" customFormat="1"/>
    <row r="548" spans="2:13" s="313" customFormat="1">
      <c r="B548" s="314"/>
      <c r="C548" s="314"/>
      <c r="D548" s="314"/>
      <c r="E548" s="314"/>
      <c r="M548" s="314"/>
    </row>
    <row r="549" spans="2:13" s="313" customFormat="1">
      <c r="B549" s="314"/>
      <c r="C549" s="314"/>
      <c r="D549" s="314"/>
      <c r="E549" s="314"/>
      <c r="M549" s="314"/>
    </row>
    <row r="550" spans="2:13">
      <c r="F550" s="313"/>
      <c r="G550" s="313"/>
      <c r="I550" s="313"/>
      <c r="J550" s="313"/>
      <c r="K550" s="313"/>
      <c r="L550" s="313"/>
    </row>
    <row r="551" spans="2:13">
      <c r="F551" s="313"/>
      <c r="G551" s="313"/>
    </row>
    <row r="552" spans="2:13">
      <c r="F552" s="313"/>
      <c r="G552" s="313"/>
    </row>
  </sheetData>
  <pageMargins left="0.19685039370078741" right="0.19685039370078741" top="0.78740157480314965" bottom="0.39370078740157483" header="0.31496062992125984" footer="0.31496062992125984"/>
  <pageSetup paperSize="9" scale="69" fitToHeight="2" orientation="portrait" r:id="rId1"/>
  <rowBreaks count="1" manualBreakCount="1">
    <brk id="86" min="1"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A10E8-5650-4EAE-BA16-5F87FE0A8DB7}">
  <sheetPr>
    <tabColor rgb="FFFFFF99"/>
    <pageSetUpPr fitToPage="1"/>
  </sheetPr>
  <dimension ref="A1:BX639"/>
  <sheetViews>
    <sheetView workbookViewId="0">
      <selection activeCell="V32" sqref="V32"/>
    </sheetView>
  </sheetViews>
  <sheetFormatPr defaultRowHeight="12.75"/>
  <cols>
    <col min="1" max="2" width="3.85546875" style="630" customWidth="1"/>
    <col min="3" max="3" width="10.28515625" style="630" customWidth="1"/>
    <col min="4" max="4" width="17.7109375" style="632" bestFit="1" customWidth="1"/>
    <col min="5" max="6" width="9.140625" style="632"/>
    <col min="7" max="7" width="10" style="632" bestFit="1" customWidth="1"/>
    <col min="8" max="8" width="9.140625" style="632"/>
    <col min="9" max="9" width="11" style="632" bestFit="1" customWidth="1"/>
    <col min="10" max="16" width="4.7109375" style="632" customWidth="1"/>
    <col min="17" max="76" width="9.140625" style="364"/>
    <col min="77" max="16384" width="9.140625" style="630"/>
  </cols>
  <sheetData>
    <row r="1" spans="1:16" ht="18">
      <c r="A1" s="2572" t="s">
        <v>2776</v>
      </c>
      <c r="B1" s="2573"/>
      <c r="C1" s="2573"/>
      <c r="D1" s="2573"/>
      <c r="E1" s="2573"/>
      <c r="F1" s="2573"/>
      <c r="G1" s="2573"/>
      <c r="H1" s="2573"/>
      <c r="I1" s="2573"/>
      <c r="J1" s="2573"/>
      <c r="K1" s="2573"/>
      <c r="L1" s="2573"/>
      <c r="M1" s="2573"/>
      <c r="N1" s="2573"/>
      <c r="O1" s="2573"/>
      <c r="P1" s="2573"/>
    </row>
    <row r="2" spans="1:16" ht="18">
      <c r="A2" s="2574" t="s">
        <v>2777</v>
      </c>
      <c r="B2" s="2575"/>
      <c r="C2" s="2575"/>
      <c r="D2" s="2575"/>
      <c r="E2" s="2575"/>
      <c r="F2" s="2575"/>
      <c r="G2" s="2575"/>
      <c r="H2" s="2575"/>
      <c r="I2" s="2575"/>
      <c r="J2" s="2575"/>
      <c r="K2" s="2575"/>
      <c r="L2" s="2575"/>
      <c r="M2" s="2575"/>
      <c r="N2" s="2575"/>
      <c r="O2" s="2575"/>
      <c r="P2" s="2575"/>
    </row>
    <row r="3" spans="1:16">
      <c r="A3" s="2576" t="s">
        <v>2302</v>
      </c>
      <c r="B3" s="814"/>
      <c r="C3" s="814"/>
      <c r="D3" s="814"/>
      <c r="E3" s="814"/>
      <c r="F3" s="814"/>
      <c r="G3" s="814"/>
      <c r="H3" s="814"/>
      <c r="I3" s="814"/>
      <c r="J3" s="814"/>
      <c r="K3" s="814"/>
      <c r="L3" s="814"/>
      <c r="M3" s="814"/>
      <c r="N3" s="814"/>
      <c r="O3" s="814"/>
      <c r="P3" s="814"/>
    </row>
    <row r="4" spans="1:16" ht="24.95" customHeight="1">
      <c r="A4" s="2577" t="s">
        <v>2779</v>
      </c>
      <c r="B4" s="908"/>
      <c r="C4" s="908"/>
      <c r="D4" s="908"/>
      <c r="E4" s="908"/>
      <c r="F4" s="908"/>
      <c r="G4" s="908"/>
      <c r="H4" s="908"/>
      <c r="I4" s="908"/>
      <c r="J4" s="908"/>
      <c r="K4" s="908"/>
      <c r="L4" s="908"/>
      <c r="M4" s="908"/>
      <c r="N4" s="908"/>
      <c r="O4" s="908"/>
      <c r="P4" s="908"/>
    </row>
    <row r="5" spans="1:16" ht="24.95" customHeight="1" thickBot="1">
      <c r="A5" s="2577" t="s">
        <v>2778</v>
      </c>
      <c r="B5" s="908"/>
      <c r="C5" s="908"/>
      <c r="D5" s="908"/>
      <c r="E5" s="908"/>
      <c r="F5" s="908"/>
      <c r="G5" s="908"/>
      <c r="H5" s="908"/>
      <c r="I5" s="908"/>
      <c r="J5" s="908"/>
      <c r="K5" s="908"/>
      <c r="L5" s="908"/>
      <c r="M5" s="908"/>
      <c r="N5" s="908"/>
      <c r="O5" s="908"/>
      <c r="P5" s="908"/>
    </row>
    <row r="6" spans="1:16">
      <c r="A6" s="624" t="s">
        <v>2756</v>
      </c>
      <c r="B6" s="625"/>
      <c r="C6" s="625"/>
      <c r="D6" s="626">
        <f>+IF(EXACT('SP1'!K4,"X"),1,0)</f>
        <v>1</v>
      </c>
      <c r="E6" s="627"/>
      <c r="F6" s="627"/>
      <c r="G6" s="627"/>
      <c r="H6" s="627"/>
      <c r="I6" s="627"/>
      <c r="J6" s="627"/>
      <c r="K6" s="627"/>
      <c r="L6" s="627"/>
      <c r="M6" s="627"/>
      <c r="N6" s="627"/>
      <c r="O6" s="627"/>
      <c r="P6" s="628"/>
    </row>
    <row r="7" spans="1:16">
      <c r="A7" s="629" t="s">
        <v>2757</v>
      </c>
      <c r="D7" s="631">
        <f>+IF(EXACT('SP1'!Q4,"X"),1,0)</f>
        <v>0</v>
      </c>
      <c r="P7" s="633"/>
    </row>
    <row r="8" spans="1:16">
      <c r="A8" s="629" t="s">
        <v>2758</v>
      </c>
      <c r="D8" s="631" t="str">
        <f>CONCATENATE(+'SP1'!A6)</f>
        <v/>
      </c>
      <c r="P8" s="633"/>
    </row>
    <row r="9" spans="1:16">
      <c r="A9" s="629" t="s">
        <v>278</v>
      </c>
      <c r="D9" s="631" t="str">
        <f>CONCATENATE(+'SP1'!U6)</f>
        <v/>
      </c>
      <c r="P9" s="633"/>
    </row>
    <row r="10" spans="1:16">
      <c r="A10" s="629" t="s">
        <v>2759</v>
      </c>
      <c r="B10" s="630">
        <v>1</v>
      </c>
      <c r="D10" s="631" t="str">
        <f>CONCATENATE(+'SP1'!A10)</f>
        <v>0</v>
      </c>
      <c r="P10" s="633"/>
    </row>
    <row r="11" spans="1:16">
      <c r="A11" s="629" t="s">
        <v>2759</v>
      </c>
      <c r="B11" s="630">
        <v>2</v>
      </c>
      <c r="D11" s="631" t="str">
        <f>CONCATENATE(+'SP1'!H10)</f>
        <v>0</v>
      </c>
      <c r="P11" s="633"/>
    </row>
    <row r="12" spans="1:16">
      <c r="A12" s="629" t="s">
        <v>2759</v>
      </c>
      <c r="B12" s="630">
        <v>3</v>
      </c>
      <c r="D12" s="631" t="str">
        <f>CONCATENATE(+'SP1'!Q10)</f>
        <v/>
      </c>
      <c r="P12" s="633"/>
    </row>
    <row r="13" spans="1:16">
      <c r="A13" s="629" t="s">
        <v>2759</v>
      </c>
      <c r="B13" s="630">
        <v>4</v>
      </c>
      <c r="D13" s="631" t="str">
        <f>CONCATENATE(+'SP1'!Y10)</f>
        <v/>
      </c>
      <c r="P13" s="633"/>
    </row>
    <row r="14" spans="1:16">
      <c r="A14" s="629" t="s">
        <v>2759</v>
      </c>
      <c r="B14" s="630">
        <v>5</v>
      </c>
      <c r="D14" s="634">
        <f>+'SP1'!A12</f>
        <v>0</v>
      </c>
      <c r="P14" s="633"/>
    </row>
    <row r="15" spans="1:16">
      <c r="A15" s="629" t="s">
        <v>2759</v>
      </c>
      <c r="B15" s="630">
        <v>6</v>
      </c>
      <c r="D15" s="634">
        <f>+'SP1'!D12</f>
        <v>0</v>
      </c>
      <c r="P15" s="633"/>
    </row>
    <row r="16" spans="1:16">
      <c r="A16" s="629" t="s">
        <v>2759</v>
      </c>
      <c r="B16" s="630">
        <v>7</v>
      </c>
      <c r="D16" s="634">
        <f>+'SP1'!P12</f>
        <v>0</v>
      </c>
      <c r="P16" s="633"/>
    </row>
    <row r="17" spans="1:16">
      <c r="A17" s="629" t="s">
        <v>2759</v>
      </c>
      <c r="B17" s="630">
        <v>8</v>
      </c>
      <c r="D17" s="634">
        <f>+'SP1'!V12</f>
        <v>0</v>
      </c>
      <c r="P17" s="633"/>
    </row>
    <row r="18" spans="1:16">
      <c r="A18" s="629" t="s">
        <v>2759</v>
      </c>
      <c r="B18" s="630">
        <v>9</v>
      </c>
      <c r="D18" s="634">
        <f>+'SP1'!A14</f>
        <v>0</v>
      </c>
      <c r="P18" s="633"/>
    </row>
    <row r="19" spans="1:16">
      <c r="A19" s="629" t="s">
        <v>2759</v>
      </c>
      <c r="B19" s="630">
        <v>10</v>
      </c>
      <c r="D19" s="634">
        <f>+'SP1'!D14</f>
        <v>0</v>
      </c>
      <c r="P19" s="633"/>
    </row>
    <row r="20" spans="1:16">
      <c r="A20" s="629" t="s">
        <v>2759</v>
      </c>
      <c r="B20" s="630">
        <v>11</v>
      </c>
      <c r="D20" s="634" t="str">
        <f>+'SP1'!P14</f>
        <v xml:space="preserve"> </v>
      </c>
      <c r="P20" s="633"/>
    </row>
    <row r="21" spans="1:16">
      <c r="A21" s="629" t="s">
        <v>2759</v>
      </c>
      <c r="B21" s="630">
        <v>12</v>
      </c>
      <c r="D21" s="631" t="str">
        <f>CONCATENATE(+'SP1'!Y14)</f>
        <v/>
      </c>
      <c r="P21" s="633"/>
    </row>
    <row r="22" spans="1:16">
      <c r="A22" s="629" t="s">
        <v>2760</v>
      </c>
      <c r="B22" s="630">
        <v>13</v>
      </c>
      <c r="D22" s="631">
        <f>+IF(EXACT('SP1'!O18,"X"),1,0)</f>
        <v>1</v>
      </c>
      <c r="E22" s="631">
        <f>+IF(EXACT('SP1'!U18,"X"),1,0)</f>
        <v>0</v>
      </c>
      <c r="F22" s="631">
        <f>+IF(EXACT('SP1'!AA18,"X"),1,0)</f>
        <v>0</v>
      </c>
      <c r="P22" s="633"/>
    </row>
    <row r="23" spans="1:16">
      <c r="A23" s="629"/>
      <c r="D23" s="631">
        <f>+IF(EXACT('SP1'!G20,"X"),1,0)</f>
        <v>0</v>
      </c>
      <c r="E23" s="631">
        <f>+IF(EXACT('SP1'!I20,"X"),1,0)</f>
        <v>0</v>
      </c>
      <c r="F23" s="631">
        <f>+IF(EXACT('SP1'!K20,"X"),1,0)</f>
        <v>0</v>
      </c>
      <c r="G23" s="631">
        <f>+IF(EXACT('SP1'!M20,"X"),1,0)</f>
        <v>0</v>
      </c>
      <c r="H23" s="631">
        <f>+IF(EXACT('SP1'!O20,"X"),1,0)</f>
        <v>0</v>
      </c>
      <c r="I23" s="631">
        <f>+IF(EXACT('SP1'!Q20,"X"),1,0)</f>
        <v>0</v>
      </c>
      <c r="J23" s="631">
        <f>+IF(EXACT('SP1'!S20,"X"),1,0)</f>
        <v>0</v>
      </c>
      <c r="K23" s="631">
        <f>+IF(EXACT('SP1'!U20,"X"),1,0)</f>
        <v>0</v>
      </c>
      <c r="L23" s="631">
        <f>+IF(EXACT('SP1'!W20,"X"),1,0)</f>
        <v>0</v>
      </c>
      <c r="M23" s="631">
        <f>+IF(EXACT('SP1'!Y20,"X"),1,0)</f>
        <v>0</v>
      </c>
      <c r="N23" s="631">
        <f>+IF(EXACT('SP1'!AA20,"X"),1,0)</f>
        <v>0</v>
      </c>
      <c r="O23" s="631">
        <f>+IF(EXACT('SP1'!AC20,"X"),1,0)</f>
        <v>0</v>
      </c>
      <c r="P23" s="635">
        <f>+IF(EXACT('SP1'!AE20,"X"),1,0)</f>
        <v>1</v>
      </c>
    </row>
    <row r="24" spans="1:16">
      <c r="A24" s="629"/>
      <c r="D24" s="631">
        <f>+IF(EXACT('SP1'!G22,"X"),1,0)</f>
        <v>0</v>
      </c>
      <c r="E24" s="631">
        <f>+IF(EXACT('SP1'!I22,"X"),1,0)</f>
        <v>0</v>
      </c>
      <c r="F24" s="631">
        <f>+IF(EXACT('SP1'!K22,"X"),1,0)</f>
        <v>0</v>
      </c>
      <c r="G24" s="631">
        <f>+IF(EXACT('SP1'!M22,"X"),1,0)</f>
        <v>0</v>
      </c>
      <c r="H24" s="631">
        <f>+IF(EXACT('SP1'!O22,"X"),1,0)</f>
        <v>0</v>
      </c>
      <c r="I24" s="631">
        <f>+IF(EXACT('SP1'!Q22,"X"),1,0)</f>
        <v>0</v>
      </c>
      <c r="J24" s="631">
        <f>+IF(EXACT('SP1'!S22,"X"),1,0)</f>
        <v>0</v>
      </c>
      <c r="K24" s="631">
        <f>+IF(EXACT('SP1'!U22,"X"),1,0)</f>
        <v>0</v>
      </c>
      <c r="L24" s="631">
        <f>+IF(EXACT('SP1'!W22,"X"),1,0)</f>
        <v>0</v>
      </c>
      <c r="M24" s="631">
        <f>+IF(EXACT('SP1'!Y22,"X"),1,0)</f>
        <v>0</v>
      </c>
      <c r="N24" s="631">
        <f>+IF(EXACT('SP1'!AA22,"X"),1,0)</f>
        <v>0</v>
      </c>
      <c r="O24" s="631">
        <f>+IF(EXACT('SP1'!AC22,"X"),1,0)</f>
        <v>0</v>
      </c>
      <c r="P24" s="635">
        <f>+IF(EXACT('SP1'!AE22,"X"),1,0)</f>
        <v>0</v>
      </c>
    </row>
    <row r="25" spans="1:16">
      <c r="A25" s="629"/>
      <c r="D25" s="631">
        <f>+IF(EXACT('SP1'!G24,"X"),1,0)</f>
        <v>0</v>
      </c>
      <c r="E25" s="631">
        <f>+IF(EXACT('SP1'!I24,"X"),1,0)</f>
        <v>0</v>
      </c>
      <c r="F25" s="631">
        <f>+IF(EXACT('SP1'!K24,"X"),1,0)</f>
        <v>0</v>
      </c>
      <c r="G25" s="631">
        <f>+IF(EXACT('SP1'!M24,"X"),1,0)</f>
        <v>0</v>
      </c>
      <c r="H25" s="631">
        <f>+IF(EXACT('SP1'!O24,"X"),1,0)</f>
        <v>0</v>
      </c>
      <c r="I25" s="631">
        <f>+IF(EXACT('SP1'!Q24,"X"),1,0)</f>
        <v>0</v>
      </c>
      <c r="J25" s="631">
        <f>+IF(EXACT('SP1'!S24,"X"),1,0)</f>
        <v>0</v>
      </c>
      <c r="K25" s="631">
        <f>+IF(EXACT('SP1'!U24,"X"),1,0)</f>
        <v>0</v>
      </c>
      <c r="L25" s="631">
        <f>+IF(EXACT('SP1'!W24,"X"),1,0)</f>
        <v>0</v>
      </c>
      <c r="M25" s="631">
        <f>+IF(EXACT('SP1'!Y24,"X"),1,0)</f>
        <v>0</v>
      </c>
      <c r="N25" s="631">
        <f>+IF(EXACT('SP1'!AA24,"X"),1,0)</f>
        <v>0</v>
      </c>
      <c r="O25" s="631">
        <f>+IF(EXACT('SP1'!AC24,"X"),1,0)</f>
        <v>0</v>
      </c>
      <c r="P25" s="635">
        <f>+IF(EXACT('SP1'!AE24,"X"),1,0)</f>
        <v>0</v>
      </c>
    </row>
    <row r="26" spans="1:16">
      <c r="A26" s="629"/>
      <c r="D26" s="631">
        <f>+IF(EXACT('SP1'!G26,"X"),1,0)</f>
        <v>0</v>
      </c>
      <c r="E26" s="631">
        <f>+IF(EXACT('SP1'!I26,"X"),1,0)</f>
        <v>0</v>
      </c>
      <c r="F26" s="631">
        <f>+IF(EXACT('SP1'!K26,"X"),1,0)</f>
        <v>0</v>
      </c>
      <c r="G26" s="631">
        <f>+IF(EXACT('SP1'!M26,"X"),1,0)</f>
        <v>0</v>
      </c>
      <c r="H26" s="631">
        <f>+IF(EXACT('SP1'!O26,"X"),1,0)</f>
        <v>0</v>
      </c>
      <c r="I26" s="631">
        <f>+IF(EXACT('SP1'!Q26,"X"),1,0)</f>
        <v>0</v>
      </c>
      <c r="J26" s="631">
        <f>+IF(EXACT('SP1'!S26,"X"),1,0)</f>
        <v>0</v>
      </c>
      <c r="K26" s="631">
        <f>+IF(EXACT('SP1'!U26,"X"),1,0)</f>
        <v>0</v>
      </c>
      <c r="L26" s="631">
        <f>+IF(EXACT('SP1'!W26,"X"),1,0)</f>
        <v>0</v>
      </c>
      <c r="M26" s="631">
        <f>+IF(EXACT('SP1'!Y26,"X"),1,0)</f>
        <v>0</v>
      </c>
      <c r="N26" s="631">
        <f>+IF(EXACT('SP1'!AA26,"X"),1,0)</f>
        <v>0</v>
      </c>
      <c r="O26" s="631">
        <f>+IF(EXACT('SP1'!AC26,"X"),1,0)</f>
        <v>0</v>
      </c>
      <c r="P26" s="635">
        <f>+IF(EXACT('SP1'!AE26,"X"),1,0)</f>
        <v>0</v>
      </c>
    </row>
    <row r="27" spans="1:16">
      <c r="A27" s="629"/>
      <c r="D27" s="631">
        <f>+IF(EXACT('SP1'!AE28,"X"),1,0)</f>
        <v>0</v>
      </c>
      <c r="P27" s="633"/>
    </row>
    <row r="28" spans="1:16">
      <c r="A28" s="636" t="s">
        <v>2761</v>
      </c>
      <c r="B28" s="630">
        <v>14</v>
      </c>
      <c r="D28" s="631">
        <f>+IF(EXACT('SP1'!G32,"X"),1,0)</f>
        <v>0</v>
      </c>
      <c r="P28" s="633"/>
    </row>
    <row r="29" spans="1:16">
      <c r="A29" s="629" t="s">
        <v>2761</v>
      </c>
      <c r="B29" s="630">
        <v>15</v>
      </c>
      <c r="D29" s="631">
        <f>+IF(EXACT('SP1'!AE32,"X"),1,0)</f>
        <v>0</v>
      </c>
      <c r="P29" s="633"/>
    </row>
    <row r="30" spans="1:16">
      <c r="A30" s="629" t="s">
        <v>2761</v>
      </c>
      <c r="B30" s="630">
        <v>16</v>
      </c>
      <c r="D30" s="631">
        <f>+IF(EXACT('SP1'!G34,"X"),1,0)</f>
        <v>0</v>
      </c>
      <c r="P30" s="633"/>
    </row>
    <row r="31" spans="1:16">
      <c r="A31" s="629" t="s">
        <v>2761</v>
      </c>
      <c r="B31" s="630">
        <v>17</v>
      </c>
      <c r="D31" s="631">
        <f>+IF(EXACT('SP1'!AE34,"X"),1,0)</f>
        <v>0</v>
      </c>
      <c r="P31" s="633"/>
    </row>
    <row r="32" spans="1:16">
      <c r="A32" s="629" t="s">
        <v>2761</v>
      </c>
      <c r="B32" s="630">
        <v>18</v>
      </c>
      <c r="D32" s="631">
        <f>+IF(EXACT('SP1'!G36,"X"),1,0)</f>
        <v>0</v>
      </c>
      <c r="P32" s="633"/>
    </row>
    <row r="33" spans="1:16">
      <c r="A33" s="629" t="s">
        <v>2761</v>
      </c>
      <c r="B33" s="630">
        <v>19</v>
      </c>
      <c r="D33" s="631">
        <f>+IF(EXACT('SP1'!AE36,"X"),1,0)</f>
        <v>0</v>
      </c>
      <c r="P33" s="633"/>
    </row>
    <row r="34" spans="1:16">
      <c r="A34" s="636" t="s">
        <v>2762</v>
      </c>
      <c r="B34" s="630">
        <v>20</v>
      </c>
      <c r="D34" s="637">
        <f>+'SP1'!H40</f>
        <v>0</v>
      </c>
      <c r="P34" s="633"/>
    </row>
    <row r="35" spans="1:16">
      <c r="A35" s="629" t="s">
        <v>2762</v>
      </c>
      <c r="B35" s="630">
        <v>21</v>
      </c>
      <c r="D35" s="631">
        <f>+'SP1'!P42</f>
        <v>12</v>
      </c>
      <c r="E35" s="631">
        <f>+'SP1'!U42</f>
        <v>0</v>
      </c>
      <c r="P35" s="633"/>
    </row>
    <row r="36" spans="1:16">
      <c r="A36" s="629" t="s">
        <v>2762</v>
      </c>
      <c r="B36" s="630">
        <v>22</v>
      </c>
      <c r="D36" s="631">
        <f>+'SP1'!P44</f>
        <v>12</v>
      </c>
      <c r="E36" s="631">
        <f>+'SP1'!U44</f>
        <v>0</v>
      </c>
      <c r="P36" s="633"/>
    </row>
    <row r="37" spans="1:16">
      <c r="A37" s="629" t="s">
        <v>2762</v>
      </c>
      <c r="B37" s="630">
        <v>23</v>
      </c>
      <c r="D37" s="637">
        <f>+'SP1'!H46</f>
        <v>0</v>
      </c>
      <c r="P37" s="633"/>
    </row>
    <row r="38" spans="1:16">
      <c r="A38" s="629" t="s">
        <v>2762</v>
      </c>
      <c r="B38" s="630">
        <v>24</v>
      </c>
      <c r="D38" s="637">
        <f>+'SP1'!H48</f>
        <v>0</v>
      </c>
      <c r="E38" s="637">
        <f>+'SP1'!P48</f>
        <v>0</v>
      </c>
      <c r="P38" s="633"/>
    </row>
    <row r="39" spans="1:16">
      <c r="A39" s="629" t="s">
        <v>2762</v>
      </c>
      <c r="B39" s="630">
        <v>25</v>
      </c>
      <c r="D39" s="637">
        <f>+'SP1'!H50</f>
        <v>0</v>
      </c>
      <c r="E39" s="637">
        <f>+'SP1'!P50</f>
        <v>0</v>
      </c>
      <c r="P39" s="633"/>
    </row>
    <row r="40" spans="1:16">
      <c r="A40" s="629" t="s">
        <v>2762</v>
      </c>
      <c r="B40" s="630">
        <v>26</v>
      </c>
      <c r="D40" s="637">
        <f>+'SP1'!H52</f>
        <v>0</v>
      </c>
      <c r="E40" s="637">
        <f>+'SP1'!P52</f>
        <v>0</v>
      </c>
      <c r="P40" s="633"/>
    </row>
    <row r="41" spans="1:16">
      <c r="A41" s="629" t="s">
        <v>2762</v>
      </c>
      <c r="B41" s="630">
        <v>27</v>
      </c>
      <c r="D41" s="637">
        <f>+'SP1'!H54</f>
        <v>195540</v>
      </c>
      <c r="P41" s="633"/>
    </row>
    <row r="42" spans="1:16">
      <c r="A42" s="629" t="s">
        <v>2762</v>
      </c>
      <c r="B42" s="630">
        <v>28</v>
      </c>
      <c r="D42" s="637">
        <f>+'SP1'!H56</f>
        <v>195540</v>
      </c>
      <c r="P42" s="633"/>
    </row>
    <row r="43" spans="1:16">
      <c r="A43" s="629" t="s">
        <v>2762</v>
      </c>
      <c r="B43" s="630">
        <v>29</v>
      </c>
      <c r="D43" s="637">
        <f>+'SP1'!H58</f>
        <v>0</v>
      </c>
      <c r="P43" s="633"/>
    </row>
    <row r="44" spans="1:16">
      <c r="A44" s="629" t="s">
        <v>2762</v>
      </c>
      <c r="B44" s="630">
        <v>30</v>
      </c>
      <c r="D44" s="637">
        <f>+'SP1'!H60</f>
        <v>195540</v>
      </c>
      <c r="P44" s="633"/>
    </row>
    <row r="45" spans="1:16">
      <c r="A45" s="629" t="s">
        <v>2762</v>
      </c>
      <c r="B45" s="630">
        <v>31</v>
      </c>
      <c r="D45" s="637">
        <f>+'SP1'!H62</f>
        <v>195540</v>
      </c>
      <c r="P45" s="633"/>
    </row>
    <row r="46" spans="1:16">
      <c r="A46" s="629" t="s">
        <v>2762</v>
      </c>
      <c r="B46" s="630" t="s">
        <v>2763</v>
      </c>
      <c r="D46" s="637">
        <f>+'SP1'!H64</f>
        <v>57098</v>
      </c>
      <c r="E46" s="632" t="s">
        <v>2764</v>
      </c>
      <c r="F46" s="637">
        <f>+'SP1'!P64</f>
        <v>0</v>
      </c>
      <c r="P46" s="633"/>
    </row>
    <row r="47" spans="1:16">
      <c r="A47" s="629" t="s">
        <v>2762</v>
      </c>
      <c r="B47" s="630" t="s">
        <v>2765</v>
      </c>
      <c r="D47" s="637">
        <f>+'SP1'!H66</f>
        <v>57098</v>
      </c>
      <c r="E47" s="632">
        <v>33</v>
      </c>
      <c r="F47" s="637">
        <f>+'SP1'!P66</f>
        <v>0</v>
      </c>
      <c r="P47" s="633"/>
    </row>
    <row r="48" spans="1:16">
      <c r="A48" s="629" t="s">
        <v>2762</v>
      </c>
      <c r="B48" s="630">
        <v>34</v>
      </c>
      <c r="D48" s="637">
        <f>+'SP1'!H68</f>
        <v>57098</v>
      </c>
      <c r="P48" s="633"/>
    </row>
    <row r="49" spans="1:16">
      <c r="A49" s="636" t="s">
        <v>2766</v>
      </c>
      <c r="D49" s="631">
        <f>+IF(EXACT('SP1'!AD71,"X"),1,0)</f>
        <v>0</v>
      </c>
      <c r="E49" s="631">
        <f>+IF(EXACT('SP1'!AF71,"X"),1,0)</f>
        <v>1</v>
      </c>
      <c r="P49" s="633"/>
    </row>
    <row r="50" spans="1:16">
      <c r="A50" s="636" t="s">
        <v>2767</v>
      </c>
      <c r="D50" s="631">
        <f>+IF(EXACT('SP2'!L7,"X"),1,0)</f>
        <v>1</v>
      </c>
      <c r="E50" s="631">
        <f>+IF(EXACT('SP2'!Q7,"X"),1,0)</f>
        <v>0</v>
      </c>
      <c r="F50" s="631">
        <f>+IF(EXACT('SP2'!AN7,"X"),1,0)</f>
        <v>0</v>
      </c>
      <c r="P50" s="633"/>
    </row>
    <row r="51" spans="1:16">
      <c r="A51" s="636"/>
      <c r="D51" s="631">
        <f>+IF(EXACT('SP2'!R9,"X"),1,0)</f>
        <v>0</v>
      </c>
      <c r="E51" s="631">
        <f>+IF(EXACT('SP2'!AN9,"X"),1,0)</f>
        <v>0</v>
      </c>
      <c r="P51" s="633"/>
    </row>
    <row r="52" spans="1:16">
      <c r="A52" s="636" t="s">
        <v>2767</v>
      </c>
      <c r="B52" s="630">
        <v>35</v>
      </c>
      <c r="D52" s="631">
        <f>+'SP2'!D11</f>
        <v>19587</v>
      </c>
      <c r="P52" s="633"/>
    </row>
    <row r="53" spans="1:16">
      <c r="A53" s="629" t="s">
        <v>2767</v>
      </c>
      <c r="B53" s="630">
        <v>36</v>
      </c>
      <c r="D53" s="631">
        <f>+'SP2'!S11</f>
        <v>5720</v>
      </c>
      <c r="P53" s="633"/>
    </row>
    <row r="54" spans="1:16">
      <c r="A54" s="629" t="s">
        <v>2767</v>
      </c>
      <c r="B54" s="630">
        <v>37</v>
      </c>
      <c r="D54" s="631">
        <f>+'SP2'!AH11</f>
        <v>440</v>
      </c>
      <c r="P54" s="633"/>
    </row>
    <row r="55" spans="1:16">
      <c r="A55" s="636" t="s">
        <v>2768</v>
      </c>
      <c r="D55" s="637">
        <f>+'SP2'!G15</f>
        <v>0</v>
      </c>
      <c r="E55" s="631">
        <f>+IF(EXACT('SP2'!AN15,"X"),1,0)</f>
        <v>0</v>
      </c>
      <c r="P55" s="633"/>
    </row>
    <row r="56" spans="1:16">
      <c r="A56" s="636" t="s">
        <v>2768</v>
      </c>
      <c r="B56" s="638" t="s">
        <v>210</v>
      </c>
      <c r="D56" s="631">
        <f>+IF(EXACT('SP2'!B18,"X"),1,0)</f>
        <v>0</v>
      </c>
      <c r="E56" s="631" t="str">
        <f>CONCATENATE(+'SP2'!A20)</f>
        <v/>
      </c>
      <c r="F56" s="631" t="str">
        <f>CONCATENATE(+'SP2'!H20)</f>
        <v xml:space="preserve"> </v>
      </c>
      <c r="G56" s="631" t="str">
        <f>CONCATENATE(+'SP2'!M20)</f>
        <v>0</v>
      </c>
      <c r="H56" s="631" t="str">
        <f>CONCATENATE(+'SP2'!W20)</f>
        <v>0</v>
      </c>
      <c r="I56" s="631" t="str">
        <f>CONCATENATE(+'SP2'!AC20)</f>
        <v/>
      </c>
      <c r="J56" s="631" t="str">
        <f>CONCATENATE(+'SP2'!AJ20)</f>
        <v/>
      </c>
      <c r="P56" s="633"/>
    </row>
    <row r="57" spans="1:16">
      <c r="A57" s="636" t="s">
        <v>2768</v>
      </c>
      <c r="B57" s="638" t="s">
        <v>211</v>
      </c>
      <c r="D57" s="631">
        <f>+IF(EXACT('SP2'!B22,"X"),1,0)</f>
        <v>0</v>
      </c>
      <c r="E57" s="631" t="str">
        <f>CONCATENATE(+'SP2'!A24)</f>
        <v/>
      </c>
      <c r="F57" s="631" t="str">
        <f>CONCATENATE(+'SP2'!F24)</f>
        <v/>
      </c>
      <c r="G57" s="631" t="str">
        <f>CONCATENATE(+'SP2'!K24)</f>
        <v/>
      </c>
      <c r="H57" s="631" t="str">
        <f>CONCATENATE(+'SP2'!AC24)</f>
        <v/>
      </c>
      <c r="I57" s="631" t="str">
        <f>CONCATENATE(+'SP2'!AH24)</f>
        <v/>
      </c>
      <c r="P57" s="633"/>
    </row>
    <row r="58" spans="1:16">
      <c r="A58" s="636" t="s">
        <v>2769</v>
      </c>
      <c r="B58" s="630">
        <v>38</v>
      </c>
      <c r="D58" s="631">
        <f>+IF(EXACT('SP2'!S28,"X"),1,0)</f>
        <v>0</v>
      </c>
      <c r="E58" s="631">
        <f>+IF(EXACT('SP2'!V28,"X"),1,0)</f>
        <v>0</v>
      </c>
      <c r="F58" s="631">
        <f>+IF(EXACT('SP2'!Y28,"X"),1,0)</f>
        <v>0</v>
      </c>
      <c r="G58" s="631">
        <f>+IF(EXACT('SP2'!AB28,"X"),1,0)</f>
        <v>0</v>
      </c>
      <c r="H58" s="631">
        <f>+IF(EXACT('SP2'!AE28,"X"),1,0)</f>
        <v>0</v>
      </c>
      <c r="I58" s="631">
        <f>+IF(EXACT('SP2'!AH28,"X"),1,0)</f>
        <v>0</v>
      </c>
      <c r="J58" s="631">
        <f>+IF(EXACT('SP2'!AK28,"X"),1,0)</f>
        <v>0</v>
      </c>
      <c r="K58" s="631">
        <f>+IF(EXACT('SP2'!AN28,"X"),1,0)</f>
        <v>0</v>
      </c>
      <c r="P58" s="633"/>
    </row>
    <row r="59" spans="1:16">
      <c r="A59" s="629" t="s">
        <v>2769</v>
      </c>
      <c r="B59" s="630" t="s">
        <v>2770</v>
      </c>
      <c r="D59" s="631">
        <f>+IF(EXACT('SP2'!K30,"X"),1,0)</f>
        <v>1</v>
      </c>
      <c r="E59" s="631">
        <f>+IF(EXACT('SP2'!AN30,"X"),1,0)</f>
        <v>0</v>
      </c>
      <c r="P59" s="633"/>
    </row>
    <row r="60" spans="1:16">
      <c r="A60" s="629" t="s">
        <v>2769</v>
      </c>
      <c r="B60" s="630" t="s">
        <v>2771</v>
      </c>
      <c r="D60" s="631">
        <f>+IF(EXACT('SP2'!K32,"X"),1,0)</f>
        <v>0</v>
      </c>
      <c r="E60" s="631" t="str">
        <f>CONCATENATE(+'SP2'!AH32)</f>
        <v/>
      </c>
      <c r="P60" s="633"/>
    </row>
    <row r="61" spans="1:16">
      <c r="A61" s="636" t="s">
        <v>2772</v>
      </c>
      <c r="D61" s="631" t="str">
        <f>CONCATENATE(+'SP2'!A36)</f>
        <v/>
      </c>
      <c r="E61" s="631" t="str">
        <f>CONCATENATE(+'SP2'!L36)</f>
        <v/>
      </c>
      <c r="P61" s="633"/>
    </row>
    <row r="62" spans="1:16">
      <c r="A62" s="636" t="s">
        <v>2773</v>
      </c>
      <c r="D62" s="631" t="str">
        <f>CONCATENATE(+'SP2'!A41)</f>
        <v/>
      </c>
      <c r="E62" s="631" t="str">
        <f>CONCATENATE(+'SP2'!M41)</f>
        <v/>
      </c>
      <c r="F62" s="631" t="str">
        <f>CONCATENATE(+'SP2'!W41)</f>
        <v/>
      </c>
      <c r="G62" s="631" t="str">
        <f>CONCATENATE(+'SP2'!AB41)</f>
        <v/>
      </c>
      <c r="H62" s="631" t="str">
        <f>CONCATENATE(+'SP2'!AI41)</f>
        <v/>
      </c>
      <c r="P62" s="633"/>
    </row>
    <row r="63" spans="1:16">
      <c r="A63" s="629"/>
      <c r="D63" s="631" t="str">
        <f>CONCATENATE(+'SP2'!A43)</f>
        <v xml:space="preserve"> </v>
      </c>
      <c r="E63" s="631" t="str">
        <f>CONCATENATE(+'SP2'!M43)</f>
        <v xml:space="preserve"> </v>
      </c>
      <c r="F63" s="631" t="str">
        <f>CONCATENATE(+'SP2'!R43)</f>
        <v xml:space="preserve"> </v>
      </c>
      <c r="G63" s="631" t="str">
        <f>CONCATENATE(+'SP2'!AB43)</f>
        <v xml:space="preserve"> </v>
      </c>
      <c r="H63" s="631" t="str">
        <f>CONCATENATE(+'SP2'!AG43)</f>
        <v xml:space="preserve"> </v>
      </c>
      <c r="P63" s="633"/>
    </row>
    <row r="64" spans="1:16">
      <c r="A64" s="636" t="s">
        <v>2774</v>
      </c>
      <c r="B64" s="638" t="s">
        <v>2775</v>
      </c>
      <c r="D64" s="631">
        <f>+IF(EXACT('SP2'!D50,"X"),1,0)</f>
        <v>0</v>
      </c>
      <c r="P64" s="633"/>
    </row>
    <row r="65" spans="1:16">
      <c r="A65" s="629"/>
      <c r="B65" s="638" t="s">
        <v>2612</v>
      </c>
      <c r="D65" s="631">
        <f>+IF(EXACT('SP2'!W50,"X"),1,0)</f>
        <v>0</v>
      </c>
      <c r="P65" s="633"/>
    </row>
    <row r="66" spans="1:16">
      <c r="A66" s="629"/>
      <c r="B66" s="638" t="s">
        <v>251</v>
      </c>
      <c r="D66" s="631">
        <f>+'SP2'!AI50</f>
        <v>0</v>
      </c>
      <c r="P66" s="633"/>
    </row>
    <row r="67" spans="1:16" ht="13.5" thickBot="1">
      <c r="A67" s="639"/>
      <c r="B67" s="640" t="s">
        <v>41</v>
      </c>
      <c r="C67" s="641"/>
      <c r="D67" s="642">
        <f ca="1">+'SP2'!A53</f>
        <v>46094</v>
      </c>
      <c r="E67" s="643"/>
      <c r="F67" s="643"/>
      <c r="G67" s="643"/>
      <c r="H67" s="643"/>
      <c r="I67" s="643"/>
      <c r="J67" s="643"/>
      <c r="K67" s="643"/>
      <c r="L67" s="643"/>
      <c r="M67" s="643"/>
      <c r="N67" s="643"/>
      <c r="O67" s="643"/>
      <c r="P67" s="645" t="s">
        <v>234</v>
      </c>
    </row>
    <row r="68" spans="1:16" s="364" customFormat="1">
      <c r="D68" s="644"/>
      <c r="E68" s="644"/>
      <c r="F68" s="644"/>
      <c r="G68" s="644"/>
      <c r="H68" s="644"/>
      <c r="I68" s="644"/>
      <c r="J68" s="644"/>
      <c r="K68" s="644"/>
      <c r="L68" s="644"/>
      <c r="M68" s="644"/>
      <c r="N68" s="644"/>
      <c r="O68" s="644"/>
      <c r="P68" s="644"/>
    </row>
    <row r="69" spans="1:16" s="364" customFormat="1">
      <c r="D69" s="644"/>
      <c r="E69" s="644"/>
      <c r="F69" s="644"/>
      <c r="G69" s="644"/>
      <c r="H69" s="644"/>
      <c r="I69" s="644"/>
      <c r="J69" s="644"/>
      <c r="K69" s="644"/>
      <c r="L69" s="644"/>
      <c r="M69" s="644"/>
      <c r="N69" s="644"/>
      <c r="O69" s="644"/>
      <c r="P69" s="644"/>
    </row>
    <row r="70" spans="1:16" s="364" customFormat="1">
      <c r="D70" s="644"/>
      <c r="E70" s="644"/>
      <c r="F70" s="644"/>
      <c r="G70" s="644"/>
      <c r="H70" s="644"/>
      <c r="I70" s="644"/>
      <c r="J70" s="644"/>
      <c r="K70" s="644"/>
      <c r="L70" s="644"/>
      <c r="M70" s="644"/>
      <c r="N70" s="644"/>
      <c r="O70" s="644"/>
      <c r="P70" s="644"/>
    </row>
    <row r="71" spans="1:16" s="364" customFormat="1">
      <c r="D71" s="644"/>
      <c r="E71" s="644"/>
      <c r="F71" s="644"/>
      <c r="G71" s="644"/>
      <c r="H71" s="644"/>
      <c r="I71" s="644"/>
      <c r="J71" s="644"/>
      <c r="K71" s="644"/>
      <c r="L71" s="644"/>
      <c r="M71" s="644"/>
      <c r="N71" s="644"/>
      <c r="O71" s="644"/>
      <c r="P71" s="644"/>
    </row>
    <row r="72" spans="1:16" s="364" customFormat="1">
      <c r="D72" s="644"/>
      <c r="E72" s="644"/>
      <c r="F72" s="644"/>
      <c r="G72" s="644"/>
      <c r="H72" s="644"/>
      <c r="I72" s="644"/>
      <c r="J72" s="644"/>
      <c r="K72" s="644"/>
      <c r="L72" s="644"/>
      <c r="M72" s="644"/>
      <c r="N72" s="644"/>
      <c r="O72" s="644"/>
      <c r="P72" s="644"/>
    </row>
    <row r="73" spans="1:16" s="364" customFormat="1">
      <c r="D73" s="644"/>
      <c r="E73" s="644"/>
      <c r="F73" s="644"/>
      <c r="G73" s="644"/>
      <c r="H73" s="644"/>
      <c r="I73" s="644"/>
      <c r="J73" s="644"/>
      <c r="K73" s="644"/>
      <c r="L73" s="644"/>
      <c r="M73" s="644"/>
      <c r="N73" s="644"/>
      <c r="O73" s="644"/>
      <c r="P73" s="644"/>
    </row>
    <row r="74" spans="1:16" s="364" customFormat="1">
      <c r="D74" s="644"/>
      <c r="E74" s="644"/>
      <c r="F74" s="644"/>
      <c r="G74" s="644"/>
      <c r="H74" s="644"/>
      <c r="I74" s="644"/>
      <c r="J74" s="644"/>
      <c r="K74" s="644"/>
      <c r="L74" s="644"/>
      <c r="M74" s="644"/>
      <c r="N74" s="644"/>
      <c r="O74" s="644"/>
      <c r="P74" s="644"/>
    </row>
    <row r="75" spans="1:16" s="364" customFormat="1">
      <c r="D75" s="644"/>
      <c r="E75" s="644"/>
      <c r="F75" s="644"/>
      <c r="G75" s="644"/>
      <c r="H75" s="644"/>
      <c r="I75" s="644"/>
      <c r="J75" s="644"/>
      <c r="K75" s="644"/>
      <c r="L75" s="644"/>
      <c r="M75" s="644"/>
      <c r="N75" s="644"/>
      <c r="O75" s="644"/>
      <c r="P75" s="644"/>
    </row>
    <row r="76" spans="1:16" s="364" customFormat="1">
      <c r="D76" s="644"/>
      <c r="E76" s="644"/>
      <c r="F76" s="644"/>
      <c r="G76" s="644"/>
      <c r="H76" s="644"/>
      <c r="I76" s="644"/>
      <c r="J76" s="644"/>
      <c r="K76" s="644"/>
      <c r="L76" s="644"/>
      <c r="M76" s="644"/>
      <c r="N76" s="644"/>
      <c r="O76" s="644"/>
      <c r="P76" s="644"/>
    </row>
    <row r="77" spans="1:16" s="364" customFormat="1">
      <c r="D77" s="644"/>
      <c r="E77" s="644"/>
      <c r="F77" s="644"/>
      <c r="G77" s="644"/>
      <c r="H77" s="644"/>
      <c r="I77" s="644"/>
      <c r="J77" s="644"/>
      <c r="K77" s="644"/>
      <c r="L77" s="644"/>
      <c r="M77" s="644"/>
      <c r="N77" s="644"/>
      <c r="O77" s="644"/>
      <c r="P77" s="644"/>
    </row>
    <row r="78" spans="1:16" s="364" customFormat="1">
      <c r="D78" s="644"/>
      <c r="E78" s="644"/>
      <c r="F78" s="644"/>
      <c r="G78" s="644"/>
      <c r="H78" s="644"/>
      <c r="I78" s="644"/>
      <c r="J78" s="644"/>
      <c r="K78" s="644"/>
      <c r="L78" s="644"/>
      <c r="M78" s="644"/>
      <c r="N78" s="644"/>
      <c r="O78" s="644"/>
      <c r="P78" s="644"/>
    </row>
    <row r="79" spans="1:16" s="364" customFormat="1">
      <c r="D79" s="644"/>
      <c r="E79" s="644"/>
      <c r="F79" s="644"/>
      <c r="G79" s="644"/>
      <c r="H79" s="644"/>
      <c r="I79" s="644"/>
      <c r="J79" s="644"/>
      <c r="K79" s="644"/>
      <c r="L79" s="644"/>
      <c r="M79" s="644"/>
      <c r="N79" s="644"/>
      <c r="O79" s="644"/>
      <c r="P79" s="644"/>
    </row>
    <row r="80" spans="1:16" s="364" customFormat="1">
      <c r="D80" s="644"/>
      <c r="E80" s="644"/>
      <c r="F80" s="644"/>
      <c r="G80" s="644"/>
      <c r="H80" s="644"/>
      <c r="I80" s="644"/>
      <c r="J80" s="644"/>
      <c r="K80" s="644"/>
      <c r="L80" s="644"/>
      <c r="M80" s="644"/>
      <c r="N80" s="644"/>
      <c r="O80" s="644"/>
      <c r="P80" s="644"/>
    </row>
    <row r="81" spans="4:16" s="364" customFormat="1">
      <c r="D81" s="644"/>
      <c r="E81" s="644"/>
      <c r="F81" s="644"/>
      <c r="G81" s="644"/>
      <c r="H81" s="644"/>
      <c r="I81" s="644"/>
      <c r="J81" s="644"/>
      <c r="K81" s="644"/>
      <c r="L81" s="644"/>
      <c r="M81" s="644"/>
      <c r="N81" s="644"/>
      <c r="O81" s="644"/>
      <c r="P81" s="644"/>
    </row>
    <row r="82" spans="4:16" s="364" customFormat="1">
      <c r="D82" s="644"/>
      <c r="E82" s="644"/>
      <c r="F82" s="644"/>
      <c r="G82" s="644"/>
      <c r="H82" s="644"/>
      <c r="I82" s="644"/>
      <c r="J82" s="644"/>
      <c r="K82" s="644"/>
      <c r="L82" s="644"/>
      <c r="M82" s="644"/>
      <c r="N82" s="644"/>
      <c r="O82" s="644"/>
      <c r="P82" s="644"/>
    </row>
    <row r="83" spans="4:16" s="364" customFormat="1">
      <c r="D83" s="644"/>
      <c r="E83" s="644"/>
      <c r="F83" s="644"/>
      <c r="G83" s="644"/>
      <c r="H83" s="644"/>
      <c r="I83" s="644"/>
      <c r="J83" s="644"/>
      <c r="K83" s="644"/>
      <c r="L83" s="644"/>
      <c r="M83" s="644"/>
      <c r="N83" s="644"/>
      <c r="O83" s="644"/>
      <c r="P83" s="644"/>
    </row>
    <row r="84" spans="4:16" s="364" customFormat="1">
      <c r="D84" s="644"/>
      <c r="E84" s="644"/>
      <c r="F84" s="644"/>
      <c r="G84" s="644"/>
      <c r="H84" s="644"/>
      <c r="I84" s="644"/>
      <c r="J84" s="644"/>
      <c r="K84" s="644"/>
      <c r="L84" s="644"/>
      <c r="M84" s="644"/>
      <c r="N84" s="644"/>
      <c r="O84" s="644"/>
      <c r="P84" s="644"/>
    </row>
    <row r="85" spans="4:16" s="364" customFormat="1">
      <c r="D85" s="644"/>
      <c r="E85" s="644"/>
      <c r="F85" s="644"/>
      <c r="G85" s="644"/>
      <c r="H85" s="644"/>
      <c r="I85" s="644"/>
      <c r="J85" s="644"/>
      <c r="K85" s="644"/>
      <c r="L85" s="644"/>
      <c r="M85" s="644"/>
      <c r="N85" s="644"/>
      <c r="O85" s="644"/>
      <c r="P85" s="644"/>
    </row>
    <row r="86" spans="4:16" s="364" customFormat="1">
      <c r="D86" s="644"/>
      <c r="E86" s="644"/>
      <c r="F86" s="644"/>
      <c r="G86" s="644"/>
      <c r="H86" s="644"/>
      <c r="I86" s="644"/>
      <c r="J86" s="644"/>
      <c r="K86" s="644"/>
      <c r="L86" s="644"/>
      <c r="M86" s="644"/>
      <c r="N86" s="644"/>
      <c r="O86" s="644"/>
      <c r="P86" s="644"/>
    </row>
    <row r="87" spans="4:16" s="364" customFormat="1">
      <c r="D87" s="644"/>
      <c r="E87" s="644"/>
      <c r="F87" s="644"/>
      <c r="G87" s="644"/>
      <c r="H87" s="644"/>
      <c r="I87" s="644"/>
      <c r="J87" s="644"/>
      <c r="K87" s="644"/>
      <c r="L87" s="644"/>
      <c r="M87" s="644"/>
      <c r="N87" s="644"/>
      <c r="O87" s="644"/>
      <c r="P87" s="644"/>
    </row>
    <row r="88" spans="4:16" s="364" customFormat="1">
      <c r="D88" s="644"/>
      <c r="E88" s="644"/>
      <c r="F88" s="644"/>
      <c r="G88" s="644"/>
      <c r="H88" s="644"/>
      <c r="I88" s="644"/>
      <c r="J88" s="644"/>
      <c r="K88" s="644"/>
      <c r="L88" s="644"/>
      <c r="M88" s="644"/>
      <c r="N88" s="644"/>
      <c r="O88" s="644"/>
      <c r="P88" s="644"/>
    </row>
    <row r="89" spans="4:16" s="364" customFormat="1">
      <c r="D89" s="644"/>
      <c r="E89" s="644"/>
      <c r="F89" s="644"/>
      <c r="G89" s="644"/>
      <c r="H89" s="644"/>
      <c r="I89" s="644"/>
      <c r="J89" s="644"/>
      <c r="K89" s="644"/>
      <c r="L89" s="644"/>
      <c r="M89" s="644"/>
      <c r="N89" s="644"/>
      <c r="O89" s="644"/>
      <c r="P89" s="644"/>
    </row>
    <row r="90" spans="4:16" s="364" customFormat="1">
      <c r="D90" s="644"/>
      <c r="E90" s="644"/>
      <c r="F90" s="644"/>
      <c r="G90" s="644"/>
      <c r="H90" s="644"/>
      <c r="I90" s="644"/>
      <c r="J90" s="644"/>
      <c r="K90" s="644"/>
      <c r="L90" s="644"/>
      <c r="M90" s="644"/>
      <c r="N90" s="644"/>
      <c r="O90" s="644"/>
      <c r="P90" s="644"/>
    </row>
    <row r="91" spans="4:16" s="364" customFormat="1">
      <c r="D91" s="644"/>
      <c r="E91" s="644"/>
      <c r="F91" s="644"/>
      <c r="G91" s="644"/>
      <c r="H91" s="644"/>
      <c r="I91" s="644"/>
      <c r="J91" s="644"/>
      <c r="K91" s="644"/>
      <c r="L91" s="644"/>
      <c r="M91" s="644"/>
      <c r="N91" s="644"/>
      <c r="O91" s="644"/>
      <c r="P91" s="644"/>
    </row>
    <row r="92" spans="4:16" s="364" customFormat="1">
      <c r="D92" s="644"/>
      <c r="E92" s="644"/>
      <c r="F92" s="644"/>
      <c r="G92" s="644"/>
      <c r="H92" s="644"/>
      <c r="I92" s="644"/>
      <c r="J92" s="644"/>
      <c r="K92" s="644"/>
      <c r="L92" s="644"/>
      <c r="M92" s="644"/>
      <c r="N92" s="644"/>
      <c r="O92" s="644"/>
      <c r="P92" s="644"/>
    </row>
    <row r="93" spans="4:16" s="364" customFormat="1">
      <c r="D93" s="644"/>
      <c r="E93" s="644"/>
      <c r="F93" s="644"/>
      <c r="G93" s="644"/>
      <c r="H93" s="644"/>
      <c r="I93" s="644"/>
      <c r="J93" s="644"/>
      <c r="K93" s="644"/>
      <c r="L93" s="644"/>
      <c r="M93" s="644"/>
      <c r="N93" s="644"/>
      <c r="O93" s="644"/>
      <c r="P93" s="644"/>
    </row>
    <row r="94" spans="4:16" s="364" customFormat="1">
      <c r="D94" s="644"/>
      <c r="E94" s="644"/>
      <c r="F94" s="644"/>
      <c r="G94" s="644"/>
      <c r="H94" s="644"/>
      <c r="I94" s="644"/>
      <c r="J94" s="644"/>
      <c r="K94" s="644"/>
      <c r="L94" s="644"/>
      <c r="M94" s="644"/>
      <c r="N94" s="644"/>
      <c r="O94" s="644"/>
      <c r="P94" s="644"/>
    </row>
    <row r="95" spans="4:16" s="364" customFormat="1">
      <c r="D95" s="644"/>
      <c r="E95" s="644"/>
      <c r="F95" s="644"/>
      <c r="G95" s="644"/>
      <c r="H95" s="644"/>
      <c r="I95" s="644"/>
      <c r="J95" s="644"/>
      <c r="K95" s="644"/>
      <c r="L95" s="644"/>
      <c r="M95" s="644"/>
      <c r="N95" s="644"/>
      <c r="O95" s="644"/>
      <c r="P95" s="644"/>
    </row>
    <row r="96" spans="4:16" s="364" customFormat="1">
      <c r="D96" s="644"/>
      <c r="E96" s="644"/>
      <c r="F96" s="644"/>
      <c r="G96" s="644"/>
      <c r="H96" s="644"/>
      <c r="I96" s="644"/>
      <c r="J96" s="644"/>
      <c r="K96" s="644"/>
      <c r="L96" s="644"/>
      <c r="M96" s="644"/>
      <c r="N96" s="644"/>
      <c r="O96" s="644"/>
      <c r="P96" s="644"/>
    </row>
    <row r="97" spans="4:16" s="364" customFormat="1">
      <c r="D97" s="644"/>
      <c r="E97" s="644"/>
      <c r="F97" s="644"/>
      <c r="G97" s="644"/>
      <c r="H97" s="644"/>
      <c r="I97" s="644"/>
      <c r="J97" s="644"/>
      <c r="K97" s="644"/>
      <c r="L97" s="644"/>
      <c r="M97" s="644"/>
      <c r="N97" s="644"/>
      <c r="O97" s="644"/>
      <c r="P97" s="644"/>
    </row>
    <row r="98" spans="4:16" s="364" customFormat="1">
      <c r="D98" s="644"/>
      <c r="E98" s="644"/>
      <c r="F98" s="644"/>
      <c r="G98" s="644"/>
      <c r="H98" s="644"/>
      <c r="I98" s="644"/>
      <c r="J98" s="644"/>
      <c r="K98" s="644"/>
      <c r="L98" s="644"/>
      <c r="M98" s="644"/>
      <c r="N98" s="644"/>
      <c r="O98" s="644"/>
      <c r="P98" s="644"/>
    </row>
    <row r="99" spans="4:16" s="364" customFormat="1">
      <c r="D99" s="644"/>
      <c r="E99" s="644"/>
      <c r="F99" s="644"/>
      <c r="G99" s="644"/>
      <c r="H99" s="644"/>
      <c r="I99" s="644"/>
      <c r="J99" s="644"/>
      <c r="K99" s="644"/>
      <c r="L99" s="644"/>
      <c r="M99" s="644"/>
      <c r="N99" s="644"/>
      <c r="O99" s="644"/>
      <c r="P99" s="644"/>
    </row>
    <row r="100" spans="4:16" s="364" customFormat="1">
      <c r="D100" s="644"/>
      <c r="E100" s="644"/>
      <c r="F100" s="644"/>
      <c r="G100" s="644"/>
      <c r="H100" s="644"/>
      <c r="I100" s="644"/>
      <c r="J100" s="644"/>
      <c r="K100" s="644"/>
      <c r="L100" s="644"/>
      <c r="M100" s="644"/>
      <c r="N100" s="644"/>
      <c r="O100" s="644"/>
      <c r="P100" s="644"/>
    </row>
    <row r="101" spans="4:16" s="364" customFormat="1">
      <c r="D101" s="644"/>
      <c r="E101" s="644"/>
      <c r="F101" s="644"/>
      <c r="G101" s="644"/>
      <c r="H101" s="644"/>
      <c r="I101" s="644"/>
      <c r="J101" s="644"/>
      <c r="K101" s="644"/>
      <c r="L101" s="644"/>
      <c r="M101" s="644"/>
      <c r="N101" s="644"/>
      <c r="O101" s="644"/>
      <c r="P101" s="644"/>
    </row>
    <row r="102" spans="4:16" s="364" customFormat="1">
      <c r="D102" s="644"/>
      <c r="E102" s="644"/>
      <c r="F102" s="644"/>
      <c r="G102" s="644"/>
      <c r="H102" s="644"/>
      <c r="I102" s="644"/>
      <c r="J102" s="644"/>
      <c r="K102" s="644"/>
      <c r="L102" s="644"/>
      <c r="M102" s="644"/>
      <c r="N102" s="644"/>
      <c r="O102" s="644"/>
      <c r="P102" s="644"/>
    </row>
    <row r="103" spans="4:16" s="364" customFormat="1">
      <c r="D103" s="644"/>
      <c r="E103" s="644"/>
      <c r="F103" s="644"/>
      <c r="G103" s="644"/>
      <c r="H103" s="644"/>
      <c r="I103" s="644"/>
      <c r="J103" s="644"/>
      <c r="K103" s="644"/>
      <c r="L103" s="644"/>
      <c r="M103" s="644"/>
      <c r="N103" s="644"/>
      <c r="O103" s="644"/>
      <c r="P103" s="644"/>
    </row>
    <row r="104" spans="4:16" s="364" customFormat="1">
      <c r="D104" s="644"/>
      <c r="E104" s="644"/>
      <c r="F104" s="644"/>
      <c r="G104" s="644"/>
      <c r="H104" s="644"/>
      <c r="I104" s="644"/>
      <c r="J104" s="644"/>
      <c r="K104" s="644"/>
      <c r="L104" s="644"/>
      <c r="M104" s="644"/>
      <c r="N104" s="644"/>
      <c r="O104" s="644"/>
      <c r="P104" s="644"/>
    </row>
    <row r="105" spans="4:16" s="364" customFormat="1">
      <c r="D105" s="644"/>
      <c r="E105" s="644"/>
      <c r="F105" s="644"/>
      <c r="G105" s="644"/>
      <c r="H105" s="644"/>
      <c r="I105" s="644"/>
      <c r="J105" s="644"/>
      <c r="K105" s="644"/>
      <c r="L105" s="644"/>
      <c r="M105" s="644"/>
      <c r="N105" s="644"/>
      <c r="O105" s="644"/>
      <c r="P105" s="644"/>
    </row>
    <row r="106" spans="4:16" s="364" customFormat="1">
      <c r="D106" s="644"/>
      <c r="E106" s="644"/>
      <c r="F106" s="644"/>
      <c r="G106" s="644"/>
      <c r="H106" s="644"/>
      <c r="I106" s="644"/>
      <c r="J106" s="644"/>
      <c r="K106" s="644"/>
      <c r="L106" s="644"/>
      <c r="M106" s="644"/>
      <c r="N106" s="644"/>
      <c r="O106" s="644"/>
      <c r="P106" s="644"/>
    </row>
    <row r="107" spans="4:16" s="364" customFormat="1">
      <c r="D107" s="644"/>
      <c r="E107" s="644"/>
      <c r="F107" s="644"/>
      <c r="G107" s="644"/>
      <c r="H107" s="644"/>
      <c r="I107" s="644"/>
      <c r="J107" s="644"/>
      <c r="K107" s="644"/>
      <c r="L107" s="644"/>
      <c r="M107" s="644"/>
      <c r="N107" s="644"/>
      <c r="O107" s="644"/>
      <c r="P107" s="644"/>
    </row>
    <row r="108" spans="4:16" s="364" customFormat="1">
      <c r="D108" s="644"/>
      <c r="E108" s="644"/>
      <c r="F108" s="644"/>
      <c r="G108" s="644"/>
      <c r="H108" s="644"/>
      <c r="I108" s="644"/>
      <c r="J108" s="644"/>
      <c r="K108" s="644"/>
      <c r="L108" s="644"/>
      <c r="M108" s="644"/>
      <c r="N108" s="644"/>
      <c r="O108" s="644"/>
      <c r="P108" s="644"/>
    </row>
    <row r="109" spans="4:16" s="364" customFormat="1">
      <c r="D109" s="644"/>
      <c r="E109" s="644"/>
      <c r="F109" s="644"/>
      <c r="G109" s="644"/>
      <c r="H109" s="644"/>
      <c r="I109" s="644"/>
      <c r="J109" s="644"/>
      <c r="K109" s="644"/>
      <c r="L109" s="644"/>
      <c r="M109" s="644"/>
      <c r="N109" s="644"/>
      <c r="O109" s="644"/>
      <c r="P109" s="644"/>
    </row>
    <row r="110" spans="4:16" s="364" customFormat="1">
      <c r="D110" s="644"/>
      <c r="E110" s="644"/>
      <c r="F110" s="644"/>
      <c r="G110" s="644"/>
      <c r="H110" s="644"/>
      <c r="I110" s="644"/>
      <c r="J110" s="644"/>
      <c r="K110" s="644"/>
      <c r="L110" s="644"/>
      <c r="M110" s="644"/>
      <c r="N110" s="644"/>
      <c r="O110" s="644"/>
      <c r="P110" s="644"/>
    </row>
    <row r="111" spans="4:16" s="364" customFormat="1">
      <c r="D111" s="644"/>
      <c r="E111" s="644"/>
      <c r="F111" s="644"/>
      <c r="G111" s="644"/>
      <c r="H111" s="644"/>
      <c r="I111" s="644"/>
      <c r="J111" s="644"/>
      <c r="K111" s="644"/>
      <c r="L111" s="644"/>
      <c r="M111" s="644"/>
      <c r="N111" s="644"/>
      <c r="O111" s="644"/>
      <c r="P111" s="644"/>
    </row>
    <row r="112" spans="4:16" s="364" customFormat="1">
      <c r="D112" s="644"/>
      <c r="E112" s="644"/>
      <c r="F112" s="644"/>
      <c r="G112" s="644"/>
      <c r="H112" s="644"/>
      <c r="I112" s="644"/>
      <c r="J112" s="644"/>
      <c r="K112" s="644"/>
      <c r="L112" s="644"/>
      <c r="M112" s="644"/>
      <c r="N112" s="644"/>
      <c r="O112" s="644"/>
      <c r="P112" s="644"/>
    </row>
    <row r="113" spans="4:16" s="364" customFormat="1">
      <c r="D113" s="644"/>
      <c r="E113" s="644"/>
      <c r="F113" s="644"/>
      <c r="G113" s="644"/>
      <c r="H113" s="644"/>
      <c r="I113" s="644"/>
      <c r="J113" s="644"/>
      <c r="K113" s="644"/>
      <c r="L113" s="644"/>
      <c r="M113" s="644"/>
      <c r="N113" s="644"/>
      <c r="O113" s="644"/>
      <c r="P113" s="644"/>
    </row>
    <row r="114" spans="4:16" s="364" customFormat="1">
      <c r="D114" s="644"/>
      <c r="E114" s="644"/>
      <c r="F114" s="644"/>
      <c r="G114" s="644"/>
      <c r="H114" s="644"/>
      <c r="I114" s="644"/>
      <c r="J114" s="644"/>
      <c r="K114" s="644"/>
      <c r="L114" s="644"/>
      <c r="M114" s="644"/>
      <c r="N114" s="644"/>
      <c r="O114" s="644"/>
      <c r="P114" s="644"/>
    </row>
    <row r="115" spans="4:16" s="364" customFormat="1">
      <c r="D115" s="644"/>
      <c r="E115" s="644"/>
      <c r="F115" s="644"/>
      <c r="G115" s="644"/>
      <c r="H115" s="644"/>
      <c r="I115" s="644"/>
      <c r="J115" s="644"/>
      <c r="K115" s="644"/>
      <c r="L115" s="644"/>
      <c r="M115" s="644"/>
      <c r="N115" s="644"/>
      <c r="O115" s="644"/>
      <c r="P115" s="644"/>
    </row>
    <row r="116" spans="4:16" s="364" customFormat="1">
      <c r="D116" s="644"/>
      <c r="E116" s="644"/>
      <c r="F116" s="644"/>
      <c r="G116" s="644"/>
      <c r="H116" s="644"/>
      <c r="I116" s="644"/>
      <c r="J116" s="644"/>
      <c r="K116" s="644"/>
      <c r="L116" s="644"/>
      <c r="M116" s="644"/>
      <c r="N116" s="644"/>
      <c r="O116" s="644"/>
      <c r="P116" s="644"/>
    </row>
    <row r="117" spans="4:16" s="364" customFormat="1">
      <c r="D117" s="644"/>
      <c r="E117" s="644"/>
      <c r="F117" s="644"/>
      <c r="G117" s="644"/>
      <c r="H117" s="644"/>
      <c r="I117" s="644"/>
      <c r="J117" s="644"/>
      <c r="K117" s="644"/>
      <c r="L117" s="644"/>
      <c r="M117" s="644"/>
      <c r="N117" s="644"/>
      <c r="O117" s="644"/>
      <c r="P117" s="644"/>
    </row>
    <row r="118" spans="4:16" s="364" customFormat="1">
      <c r="D118" s="644"/>
      <c r="E118" s="644"/>
      <c r="F118" s="644"/>
      <c r="G118" s="644"/>
      <c r="H118" s="644"/>
      <c r="I118" s="644"/>
      <c r="J118" s="644"/>
      <c r="K118" s="644"/>
      <c r="L118" s="644"/>
      <c r="M118" s="644"/>
      <c r="N118" s="644"/>
      <c r="O118" s="644"/>
      <c r="P118" s="644"/>
    </row>
    <row r="119" spans="4:16" s="364" customFormat="1">
      <c r="D119" s="644"/>
      <c r="E119" s="644"/>
      <c r="F119" s="644"/>
      <c r="G119" s="644"/>
      <c r="H119" s="644"/>
      <c r="I119" s="644"/>
      <c r="J119" s="644"/>
      <c r="K119" s="644"/>
      <c r="L119" s="644"/>
      <c r="M119" s="644"/>
      <c r="N119" s="644"/>
      <c r="O119" s="644"/>
      <c r="P119" s="644"/>
    </row>
    <row r="120" spans="4:16" s="364" customFormat="1">
      <c r="D120" s="644"/>
      <c r="E120" s="644"/>
      <c r="F120" s="644"/>
      <c r="G120" s="644"/>
      <c r="H120" s="644"/>
      <c r="I120" s="644"/>
      <c r="J120" s="644"/>
      <c r="K120" s="644"/>
      <c r="L120" s="644"/>
      <c r="M120" s="644"/>
      <c r="N120" s="644"/>
      <c r="O120" s="644"/>
      <c r="P120" s="644"/>
    </row>
    <row r="121" spans="4:16" s="364" customFormat="1">
      <c r="D121" s="644"/>
      <c r="E121" s="644"/>
      <c r="F121" s="644"/>
      <c r="G121" s="644"/>
      <c r="H121" s="644"/>
      <c r="I121" s="644"/>
      <c r="J121" s="644"/>
      <c r="K121" s="644"/>
      <c r="L121" s="644"/>
      <c r="M121" s="644"/>
      <c r="N121" s="644"/>
      <c r="O121" s="644"/>
      <c r="P121" s="644"/>
    </row>
    <row r="122" spans="4:16" s="364" customFormat="1">
      <c r="D122" s="644"/>
      <c r="E122" s="644"/>
      <c r="F122" s="644"/>
      <c r="G122" s="644"/>
      <c r="H122" s="644"/>
      <c r="I122" s="644"/>
      <c r="J122" s="644"/>
      <c r="K122" s="644"/>
      <c r="L122" s="644"/>
      <c r="M122" s="644"/>
      <c r="N122" s="644"/>
      <c r="O122" s="644"/>
      <c r="P122" s="644"/>
    </row>
    <row r="123" spans="4:16" s="364" customFormat="1">
      <c r="D123" s="644"/>
      <c r="E123" s="644"/>
      <c r="F123" s="644"/>
      <c r="G123" s="644"/>
      <c r="H123" s="644"/>
      <c r="I123" s="644"/>
      <c r="J123" s="644"/>
      <c r="K123" s="644"/>
      <c r="L123" s="644"/>
      <c r="M123" s="644"/>
      <c r="N123" s="644"/>
      <c r="O123" s="644"/>
      <c r="P123" s="644"/>
    </row>
    <row r="124" spans="4:16" s="364" customFormat="1">
      <c r="D124" s="644"/>
      <c r="E124" s="644"/>
      <c r="F124" s="644"/>
      <c r="G124" s="644"/>
      <c r="H124" s="644"/>
      <c r="I124" s="644"/>
      <c r="J124" s="644"/>
      <c r="K124" s="644"/>
      <c r="L124" s="644"/>
      <c r="M124" s="644"/>
      <c r="N124" s="644"/>
      <c r="O124" s="644"/>
      <c r="P124" s="644"/>
    </row>
    <row r="125" spans="4:16" s="364" customFormat="1">
      <c r="D125" s="644"/>
      <c r="E125" s="644"/>
      <c r="F125" s="644"/>
      <c r="G125" s="644"/>
      <c r="H125" s="644"/>
      <c r="I125" s="644"/>
      <c r="J125" s="644"/>
      <c r="K125" s="644"/>
      <c r="L125" s="644"/>
      <c r="M125" s="644"/>
      <c r="N125" s="644"/>
      <c r="O125" s="644"/>
      <c r="P125" s="644"/>
    </row>
    <row r="126" spans="4:16" s="364" customFormat="1">
      <c r="D126" s="644"/>
      <c r="E126" s="644"/>
      <c r="F126" s="644"/>
      <c r="G126" s="644"/>
      <c r="H126" s="644"/>
      <c r="I126" s="644"/>
      <c r="J126" s="644"/>
      <c r="K126" s="644"/>
      <c r="L126" s="644"/>
      <c r="M126" s="644"/>
      <c r="N126" s="644"/>
      <c r="O126" s="644"/>
      <c r="P126" s="644"/>
    </row>
    <row r="127" spans="4:16" s="364" customFormat="1">
      <c r="D127" s="644"/>
      <c r="E127" s="644"/>
      <c r="F127" s="644"/>
      <c r="G127" s="644"/>
      <c r="H127" s="644"/>
      <c r="I127" s="644"/>
      <c r="J127" s="644"/>
      <c r="K127" s="644"/>
      <c r="L127" s="644"/>
      <c r="M127" s="644"/>
      <c r="N127" s="644"/>
      <c r="O127" s="644"/>
      <c r="P127" s="644"/>
    </row>
    <row r="128" spans="4:16" s="364" customFormat="1">
      <c r="D128" s="644"/>
      <c r="E128" s="644"/>
      <c r="F128" s="644"/>
      <c r="G128" s="644"/>
      <c r="H128" s="644"/>
      <c r="I128" s="644"/>
      <c r="J128" s="644"/>
      <c r="K128" s="644"/>
      <c r="L128" s="644"/>
      <c r="M128" s="644"/>
      <c r="N128" s="644"/>
      <c r="O128" s="644"/>
      <c r="P128" s="644"/>
    </row>
    <row r="129" spans="4:16" s="364" customFormat="1">
      <c r="D129" s="644"/>
      <c r="E129" s="644"/>
      <c r="F129" s="644"/>
      <c r="G129" s="644"/>
      <c r="H129" s="644"/>
      <c r="I129" s="644"/>
      <c r="J129" s="644"/>
      <c r="K129" s="644"/>
      <c r="L129" s="644"/>
      <c r="M129" s="644"/>
      <c r="N129" s="644"/>
      <c r="O129" s="644"/>
      <c r="P129" s="644"/>
    </row>
    <row r="130" spans="4:16" s="364" customFormat="1">
      <c r="D130" s="644"/>
      <c r="E130" s="644"/>
      <c r="F130" s="644"/>
      <c r="G130" s="644"/>
      <c r="H130" s="644"/>
      <c r="I130" s="644"/>
      <c r="J130" s="644"/>
      <c r="K130" s="644"/>
      <c r="L130" s="644"/>
      <c r="M130" s="644"/>
      <c r="N130" s="644"/>
      <c r="O130" s="644"/>
      <c r="P130" s="644"/>
    </row>
    <row r="131" spans="4:16" s="364" customFormat="1">
      <c r="D131" s="644"/>
      <c r="E131" s="644"/>
      <c r="F131" s="644"/>
      <c r="G131" s="644"/>
      <c r="H131" s="644"/>
      <c r="I131" s="644"/>
      <c r="J131" s="644"/>
      <c r="K131" s="644"/>
      <c r="L131" s="644"/>
      <c r="M131" s="644"/>
      <c r="N131" s="644"/>
      <c r="O131" s="644"/>
      <c r="P131" s="644"/>
    </row>
    <row r="132" spans="4:16" s="364" customFormat="1">
      <c r="D132" s="644"/>
      <c r="E132" s="644"/>
      <c r="F132" s="644"/>
      <c r="G132" s="644"/>
      <c r="H132" s="644"/>
      <c r="I132" s="644"/>
      <c r="J132" s="644"/>
      <c r="K132" s="644"/>
      <c r="L132" s="644"/>
      <c r="M132" s="644"/>
      <c r="N132" s="644"/>
      <c r="O132" s="644"/>
      <c r="P132" s="644"/>
    </row>
    <row r="133" spans="4:16" s="364" customFormat="1">
      <c r="D133" s="644"/>
      <c r="E133" s="644"/>
      <c r="F133" s="644"/>
      <c r="G133" s="644"/>
      <c r="H133" s="644"/>
      <c r="I133" s="644"/>
      <c r="J133" s="644"/>
      <c r="K133" s="644"/>
      <c r="L133" s="644"/>
      <c r="M133" s="644"/>
      <c r="N133" s="644"/>
      <c r="O133" s="644"/>
      <c r="P133" s="644"/>
    </row>
    <row r="134" spans="4:16" s="364" customFormat="1">
      <c r="D134" s="644"/>
      <c r="E134" s="644"/>
      <c r="F134" s="644"/>
      <c r="G134" s="644"/>
      <c r="H134" s="644"/>
      <c r="I134" s="644"/>
      <c r="J134" s="644"/>
      <c r="K134" s="644"/>
      <c r="L134" s="644"/>
      <c r="M134" s="644"/>
      <c r="N134" s="644"/>
      <c r="O134" s="644"/>
      <c r="P134" s="644"/>
    </row>
    <row r="135" spans="4:16" s="364" customFormat="1">
      <c r="D135" s="644"/>
      <c r="E135" s="644"/>
      <c r="F135" s="644"/>
      <c r="G135" s="644"/>
      <c r="H135" s="644"/>
      <c r="I135" s="644"/>
      <c r="J135" s="644"/>
      <c r="K135" s="644"/>
      <c r="L135" s="644"/>
      <c r="M135" s="644"/>
      <c r="N135" s="644"/>
      <c r="O135" s="644"/>
      <c r="P135" s="644"/>
    </row>
    <row r="136" spans="4:16" s="364" customFormat="1">
      <c r="D136" s="644"/>
      <c r="E136" s="644"/>
      <c r="F136" s="644"/>
      <c r="G136" s="644"/>
      <c r="H136" s="644"/>
      <c r="I136" s="644"/>
      <c r="J136" s="644"/>
      <c r="K136" s="644"/>
      <c r="L136" s="644"/>
      <c r="M136" s="644"/>
      <c r="N136" s="644"/>
      <c r="O136" s="644"/>
      <c r="P136" s="644"/>
    </row>
    <row r="137" spans="4:16" s="364" customFormat="1">
      <c r="D137" s="644"/>
      <c r="E137" s="644"/>
      <c r="F137" s="644"/>
      <c r="G137" s="644"/>
      <c r="H137" s="644"/>
      <c r="I137" s="644"/>
      <c r="J137" s="644"/>
      <c r="K137" s="644"/>
      <c r="L137" s="644"/>
      <c r="M137" s="644"/>
      <c r="N137" s="644"/>
      <c r="O137" s="644"/>
      <c r="P137" s="644"/>
    </row>
    <row r="138" spans="4:16" s="364" customFormat="1">
      <c r="D138" s="644"/>
      <c r="E138" s="644"/>
      <c r="F138" s="644"/>
      <c r="G138" s="644"/>
      <c r="H138" s="644"/>
      <c r="I138" s="644"/>
      <c r="J138" s="644"/>
      <c r="K138" s="644"/>
      <c r="L138" s="644"/>
      <c r="M138" s="644"/>
      <c r="N138" s="644"/>
      <c r="O138" s="644"/>
      <c r="P138" s="644"/>
    </row>
    <row r="139" spans="4:16" s="364" customFormat="1">
      <c r="D139" s="644"/>
      <c r="E139" s="644"/>
      <c r="F139" s="644"/>
      <c r="G139" s="644"/>
      <c r="H139" s="644"/>
      <c r="I139" s="644"/>
      <c r="J139" s="644"/>
      <c r="K139" s="644"/>
      <c r="L139" s="644"/>
      <c r="M139" s="644"/>
      <c r="N139" s="644"/>
      <c r="O139" s="644"/>
      <c r="P139" s="644"/>
    </row>
    <row r="140" spans="4:16" s="364" customFormat="1">
      <c r="D140" s="644"/>
      <c r="E140" s="644"/>
      <c r="F140" s="644"/>
      <c r="G140" s="644"/>
      <c r="H140" s="644"/>
      <c r="I140" s="644"/>
      <c r="J140" s="644"/>
      <c r="K140" s="644"/>
      <c r="L140" s="644"/>
      <c r="M140" s="644"/>
      <c r="N140" s="644"/>
      <c r="O140" s="644"/>
      <c r="P140" s="644"/>
    </row>
    <row r="141" spans="4:16" s="364" customFormat="1">
      <c r="D141" s="644"/>
      <c r="E141" s="644"/>
      <c r="F141" s="644"/>
      <c r="G141" s="644"/>
      <c r="H141" s="644"/>
      <c r="I141" s="644"/>
      <c r="J141" s="644"/>
      <c r="K141" s="644"/>
      <c r="L141" s="644"/>
      <c r="M141" s="644"/>
      <c r="N141" s="644"/>
      <c r="O141" s="644"/>
      <c r="P141" s="644"/>
    </row>
    <row r="142" spans="4:16" s="364" customFormat="1">
      <c r="D142" s="644"/>
      <c r="E142" s="644"/>
      <c r="F142" s="644"/>
      <c r="G142" s="644"/>
      <c r="H142" s="644"/>
      <c r="I142" s="644"/>
      <c r="J142" s="644"/>
      <c r="K142" s="644"/>
      <c r="L142" s="644"/>
      <c r="M142" s="644"/>
      <c r="N142" s="644"/>
      <c r="O142" s="644"/>
      <c r="P142" s="644"/>
    </row>
    <row r="143" spans="4:16" s="364" customFormat="1">
      <c r="D143" s="644"/>
      <c r="E143" s="644"/>
      <c r="F143" s="644"/>
      <c r="G143" s="644"/>
      <c r="H143" s="644"/>
      <c r="I143" s="644"/>
      <c r="J143" s="644"/>
      <c r="K143" s="644"/>
      <c r="L143" s="644"/>
      <c r="M143" s="644"/>
      <c r="N143" s="644"/>
      <c r="O143" s="644"/>
      <c r="P143" s="644"/>
    </row>
    <row r="144" spans="4:16" s="364" customFormat="1">
      <c r="D144" s="644"/>
      <c r="E144" s="644"/>
      <c r="F144" s="644"/>
      <c r="G144" s="644"/>
      <c r="H144" s="644"/>
      <c r="I144" s="644"/>
      <c r="J144" s="644"/>
      <c r="K144" s="644"/>
      <c r="L144" s="644"/>
      <c r="M144" s="644"/>
      <c r="N144" s="644"/>
      <c r="O144" s="644"/>
      <c r="P144" s="644"/>
    </row>
    <row r="145" spans="4:16" s="364" customFormat="1">
      <c r="D145" s="644"/>
      <c r="E145" s="644"/>
      <c r="F145" s="644"/>
      <c r="G145" s="644"/>
      <c r="H145" s="644"/>
      <c r="I145" s="644"/>
      <c r="J145" s="644"/>
      <c r="K145" s="644"/>
      <c r="L145" s="644"/>
      <c r="M145" s="644"/>
      <c r="N145" s="644"/>
      <c r="O145" s="644"/>
      <c r="P145" s="644"/>
    </row>
    <row r="146" spans="4:16" s="364" customFormat="1">
      <c r="D146" s="644"/>
      <c r="E146" s="644"/>
      <c r="F146" s="644"/>
      <c r="G146" s="644"/>
      <c r="H146" s="644"/>
      <c r="I146" s="644"/>
      <c r="J146" s="644"/>
      <c r="K146" s="644"/>
      <c r="L146" s="644"/>
      <c r="M146" s="644"/>
      <c r="N146" s="644"/>
      <c r="O146" s="644"/>
      <c r="P146" s="644"/>
    </row>
    <row r="147" spans="4:16" s="364" customFormat="1">
      <c r="D147" s="644"/>
      <c r="E147" s="644"/>
      <c r="F147" s="644"/>
      <c r="G147" s="644"/>
      <c r="H147" s="644"/>
      <c r="I147" s="644"/>
      <c r="J147" s="644"/>
      <c r="K147" s="644"/>
      <c r="L147" s="644"/>
      <c r="M147" s="644"/>
      <c r="N147" s="644"/>
      <c r="O147" s="644"/>
      <c r="P147" s="644"/>
    </row>
    <row r="148" spans="4:16" s="364" customFormat="1">
      <c r="D148" s="644"/>
      <c r="E148" s="644"/>
      <c r="F148" s="644"/>
      <c r="G148" s="644"/>
      <c r="H148" s="644"/>
      <c r="I148" s="644"/>
      <c r="J148" s="644"/>
      <c r="K148" s="644"/>
      <c r="L148" s="644"/>
      <c r="M148" s="644"/>
      <c r="N148" s="644"/>
      <c r="O148" s="644"/>
      <c r="P148" s="644"/>
    </row>
    <row r="149" spans="4:16" s="364" customFormat="1">
      <c r="D149" s="644"/>
      <c r="E149" s="644"/>
      <c r="F149" s="644"/>
      <c r="G149" s="644"/>
      <c r="H149" s="644"/>
      <c r="I149" s="644"/>
      <c r="J149" s="644"/>
      <c r="K149" s="644"/>
      <c r="L149" s="644"/>
      <c r="M149" s="644"/>
      <c r="N149" s="644"/>
      <c r="O149" s="644"/>
      <c r="P149" s="644"/>
    </row>
    <row r="150" spans="4:16" s="364" customFormat="1">
      <c r="D150" s="644"/>
      <c r="E150" s="644"/>
      <c r="F150" s="644"/>
      <c r="G150" s="644"/>
      <c r="H150" s="644"/>
      <c r="I150" s="644"/>
      <c r="J150" s="644"/>
      <c r="K150" s="644"/>
      <c r="L150" s="644"/>
      <c r="M150" s="644"/>
      <c r="N150" s="644"/>
      <c r="O150" s="644"/>
      <c r="P150" s="644"/>
    </row>
    <row r="151" spans="4:16" s="364" customFormat="1">
      <c r="D151" s="644"/>
      <c r="E151" s="644"/>
      <c r="F151" s="644"/>
      <c r="G151" s="644"/>
      <c r="H151" s="644"/>
      <c r="I151" s="644"/>
      <c r="J151" s="644"/>
      <c r="K151" s="644"/>
      <c r="L151" s="644"/>
      <c r="M151" s="644"/>
      <c r="N151" s="644"/>
      <c r="O151" s="644"/>
      <c r="P151" s="644"/>
    </row>
    <row r="152" spans="4:16" s="364" customFormat="1">
      <c r="D152" s="644"/>
      <c r="E152" s="644"/>
      <c r="F152" s="644"/>
      <c r="G152" s="644"/>
      <c r="H152" s="644"/>
      <c r="I152" s="644"/>
      <c r="J152" s="644"/>
      <c r="K152" s="644"/>
      <c r="L152" s="644"/>
      <c r="M152" s="644"/>
      <c r="N152" s="644"/>
      <c r="O152" s="644"/>
      <c r="P152" s="644"/>
    </row>
    <row r="153" spans="4:16" s="364" customFormat="1">
      <c r="D153" s="644"/>
      <c r="E153" s="644"/>
      <c r="F153" s="644"/>
      <c r="G153" s="644"/>
      <c r="H153" s="644"/>
      <c r="I153" s="644"/>
      <c r="J153" s="644"/>
      <c r="K153" s="644"/>
      <c r="L153" s="644"/>
      <c r="M153" s="644"/>
      <c r="N153" s="644"/>
      <c r="O153" s="644"/>
      <c r="P153" s="644"/>
    </row>
    <row r="154" spans="4:16" s="364" customFormat="1">
      <c r="D154" s="644"/>
      <c r="E154" s="644"/>
      <c r="F154" s="644"/>
      <c r="G154" s="644"/>
      <c r="H154" s="644"/>
      <c r="I154" s="644"/>
      <c r="J154" s="644"/>
      <c r="K154" s="644"/>
      <c r="L154" s="644"/>
      <c r="M154" s="644"/>
      <c r="N154" s="644"/>
      <c r="O154" s="644"/>
      <c r="P154" s="644"/>
    </row>
    <row r="155" spans="4:16" s="364" customFormat="1">
      <c r="D155" s="644"/>
      <c r="E155" s="644"/>
      <c r="F155" s="644"/>
      <c r="G155" s="644"/>
      <c r="H155" s="644"/>
      <c r="I155" s="644"/>
      <c r="J155" s="644"/>
      <c r="K155" s="644"/>
      <c r="L155" s="644"/>
      <c r="M155" s="644"/>
      <c r="N155" s="644"/>
      <c r="O155" s="644"/>
      <c r="P155" s="644"/>
    </row>
    <row r="156" spans="4:16" s="364" customFormat="1">
      <c r="D156" s="644"/>
      <c r="E156" s="644"/>
      <c r="F156" s="644"/>
      <c r="G156" s="644"/>
      <c r="H156" s="644"/>
      <c r="I156" s="644"/>
      <c r="J156" s="644"/>
      <c r="K156" s="644"/>
      <c r="L156" s="644"/>
      <c r="M156" s="644"/>
      <c r="N156" s="644"/>
      <c r="O156" s="644"/>
      <c r="P156" s="644"/>
    </row>
    <row r="157" spans="4:16" s="364" customFormat="1">
      <c r="D157" s="644"/>
      <c r="E157" s="644"/>
      <c r="F157" s="644"/>
      <c r="G157" s="644"/>
      <c r="H157" s="644"/>
      <c r="I157" s="644"/>
      <c r="J157" s="644"/>
      <c r="K157" s="644"/>
      <c r="L157" s="644"/>
      <c r="M157" s="644"/>
      <c r="N157" s="644"/>
      <c r="O157" s="644"/>
      <c r="P157" s="644"/>
    </row>
    <row r="158" spans="4:16" s="364" customFormat="1">
      <c r="D158" s="644"/>
      <c r="E158" s="644"/>
      <c r="F158" s="644"/>
      <c r="G158" s="644"/>
      <c r="H158" s="644"/>
      <c r="I158" s="644"/>
      <c r="J158" s="644"/>
      <c r="K158" s="644"/>
      <c r="L158" s="644"/>
      <c r="M158" s="644"/>
      <c r="N158" s="644"/>
      <c r="O158" s="644"/>
      <c r="P158" s="644"/>
    </row>
    <row r="159" spans="4:16" s="364" customFormat="1">
      <c r="D159" s="644"/>
      <c r="E159" s="644"/>
      <c r="F159" s="644"/>
      <c r="G159" s="644"/>
      <c r="H159" s="644"/>
      <c r="I159" s="644"/>
      <c r="J159" s="644"/>
      <c r="K159" s="644"/>
      <c r="L159" s="644"/>
      <c r="M159" s="644"/>
      <c r="N159" s="644"/>
      <c r="O159" s="644"/>
      <c r="P159" s="644"/>
    </row>
    <row r="160" spans="4:16" s="364" customFormat="1">
      <c r="D160" s="644"/>
      <c r="E160" s="644"/>
      <c r="F160" s="644"/>
      <c r="G160" s="644"/>
      <c r="H160" s="644"/>
      <c r="I160" s="644"/>
      <c r="J160" s="644"/>
      <c r="K160" s="644"/>
      <c r="L160" s="644"/>
      <c r="M160" s="644"/>
      <c r="N160" s="644"/>
      <c r="O160" s="644"/>
      <c r="P160" s="644"/>
    </row>
    <row r="161" spans="4:16" s="364" customFormat="1">
      <c r="D161" s="644"/>
      <c r="E161" s="644"/>
      <c r="F161" s="644"/>
      <c r="G161" s="644"/>
      <c r="H161" s="644"/>
      <c r="I161" s="644"/>
      <c r="J161" s="644"/>
      <c r="K161" s="644"/>
      <c r="L161" s="644"/>
      <c r="M161" s="644"/>
      <c r="N161" s="644"/>
      <c r="O161" s="644"/>
      <c r="P161" s="644"/>
    </row>
    <row r="162" spans="4:16" s="364" customFormat="1">
      <c r="D162" s="644"/>
      <c r="E162" s="644"/>
      <c r="F162" s="644"/>
      <c r="G162" s="644"/>
      <c r="H162" s="644"/>
      <c r="I162" s="644"/>
      <c r="J162" s="644"/>
      <c r="K162" s="644"/>
      <c r="L162" s="644"/>
      <c r="M162" s="644"/>
      <c r="N162" s="644"/>
      <c r="O162" s="644"/>
      <c r="P162" s="644"/>
    </row>
    <row r="163" spans="4:16" s="364" customFormat="1">
      <c r="D163" s="644"/>
      <c r="E163" s="644"/>
      <c r="F163" s="644"/>
      <c r="G163" s="644"/>
      <c r="H163" s="644"/>
      <c r="I163" s="644"/>
      <c r="J163" s="644"/>
      <c r="K163" s="644"/>
      <c r="L163" s="644"/>
      <c r="M163" s="644"/>
      <c r="N163" s="644"/>
      <c r="O163" s="644"/>
      <c r="P163" s="644"/>
    </row>
    <row r="164" spans="4:16" s="364" customFormat="1">
      <c r="D164" s="644"/>
      <c r="E164" s="644"/>
      <c r="F164" s="644"/>
      <c r="G164" s="644"/>
      <c r="H164" s="644"/>
      <c r="I164" s="644"/>
      <c r="J164" s="644"/>
      <c r="K164" s="644"/>
      <c r="L164" s="644"/>
      <c r="M164" s="644"/>
      <c r="N164" s="644"/>
      <c r="O164" s="644"/>
      <c r="P164" s="644"/>
    </row>
    <row r="165" spans="4:16" s="364" customFormat="1">
      <c r="D165" s="644"/>
      <c r="E165" s="644"/>
      <c r="F165" s="644"/>
      <c r="G165" s="644"/>
      <c r="H165" s="644"/>
      <c r="I165" s="644"/>
      <c r="J165" s="644"/>
      <c r="K165" s="644"/>
      <c r="L165" s="644"/>
      <c r="M165" s="644"/>
      <c r="N165" s="644"/>
      <c r="O165" s="644"/>
      <c r="P165" s="644"/>
    </row>
    <row r="166" spans="4:16" s="364" customFormat="1">
      <c r="D166" s="644"/>
      <c r="E166" s="644"/>
      <c r="F166" s="644"/>
      <c r="G166" s="644"/>
      <c r="H166" s="644"/>
      <c r="I166" s="644"/>
      <c r="J166" s="644"/>
      <c r="K166" s="644"/>
      <c r="L166" s="644"/>
      <c r="M166" s="644"/>
      <c r="N166" s="644"/>
      <c r="O166" s="644"/>
      <c r="P166" s="644"/>
    </row>
    <row r="167" spans="4:16" s="364" customFormat="1">
      <c r="D167" s="644"/>
      <c r="E167" s="644"/>
      <c r="F167" s="644"/>
      <c r="G167" s="644"/>
      <c r="H167" s="644"/>
      <c r="I167" s="644"/>
      <c r="J167" s="644"/>
      <c r="K167" s="644"/>
      <c r="L167" s="644"/>
      <c r="M167" s="644"/>
      <c r="N167" s="644"/>
      <c r="O167" s="644"/>
      <c r="P167" s="644"/>
    </row>
    <row r="168" spans="4:16" s="364" customFormat="1">
      <c r="D168" s="644"/>
      <c r="E168" s="644"/>
      <c r="F168" s="644"/>
      <c r="G168" s="644"/>
      <c r="H168" s="644"/>
      <c r="I168" s="644"/>
      <c r="J168" s="644"/>
      <c r="K168" s="644"/>
      <c r="L168" s="644"/>
      <c r="M168" s="644"/>
      <c r="N168" s="644"/>
      <c r="O168" s="644"/>
      <c r="P168" s="644"/>
    </row>
    <row r="169" spans="4:16" s="364" customFormat="1">
      <c r="D169" s="644"/>
      <c r="E169" s="644"/>
      <c r="F169" s="644"/>
      <c r="G169" s="644"/>
      <c r="H169" s="644"/>
      <c r="I169" s="644"/>
      <c r="J169" s="644"/>
      <c r="K169" s="644"/>
      <c r="L169" s="644"/>
      <c r="M169" s="644"/>
      <c r="N169" s="644"/>
      <c r="O169" s="644"/>
      <c r="P169" s="644"/>
    </row>
    <row r="170" spans="4:16" s="364" customFormat="1">
      <c r="D170" s="644"/>
      <c r="E170" s="644"/>
      <c r="F170" s="644"/>
      <c r="G170" s="644"/>
      <c r="H170" s="644"/>
      <c r="I170" s="644"/>
      <c r="J170" s="644"/>
      <c r="K170" s="644"/>
      <c r="L170" s="644"/>
      <c r="M170" s="644"/>
      <c r="N170" s="644"/>
      <c r="O170" s="644"/>
      <c r="P170" s="644"/>
    </row>
    <row r="171" spans="4:16" s="364" customFormat="1">
      <c r="D171" s="644"/>
      <c r="E171" s="644"/>
      <c r="F171" s="644"/>
      <c r="G171" s="644"/>
      <c r="H171" s="644"/>
      <c r="I171" s="644"/>
      <c r="J171" s="644"/>
      <c r="K171" s="644"/>
      <c r="L171" s="644"/>
      <c r="M171" s="644"/>
      <c r="N171" s="644"/>
      <c r="O171" s="644"/>
      <c r="P171" s="644"/>
    </row>
    <row r="172" spans="4:16" s="364" customFormat="1">
      <c r="D172" s="644"/>
      <c r="E172" s="644"/>
      <c r="F172" s="644"/>
      <c r="G172" s="644"/>
      <c r="H172" s="644"/>
      <c r="I172" s="644"/>
      <c r="J172" s="644"/>
      <c r="K172" s="644"/>
      <c r="L172" s="644"/>
      <c r="M172" s="644"/>
      <c r="N172" s="644"/>
      <c r="O172" s="644"/>
      <c r="P172" s="644"/>
    </row>
    <row r="173" spans="4:16" s="364" customFormat="1">
      <c r="D173" s="644"/>
      <c r="E173" s="644"/>
      <c r="F173" s="644"/>
      <c r="G173" s="644"/>
      <c r="H173" s="644"/>
      <c r="I173" s="644"/>
      <c r="J173" s="644"/>
      <c r="K173" s="644"/>
      <c r="L173" s="644"/>
      <c r="M173" s="644"/>
      <c r="N173" s="644"/>
      <c r="O173" s="644"/>
      <c r="P173" s="644"/>
    </row>
    <row r="174" spans="4:16" s="364" customFormat="1">
      <c r="D174" s="644"/>
      <c r="E174" s="644"/>
      <c r="F174" s="644"/>
      <c r="G174" s="644"/>
      <c r="H174" s="644"/>
      <c r="I174" s="644"/>
      <c r="J174" s="644"/>
      <c r="K174" s="644"/>
      <c r="L174" s="644"/>
      <c r="M174" s="644"/>
      <c r="N174" s="644"/>
      <c r="O174" s="644"/>
      <c r="P174" s="644"/>
    </row>
    <row r="175" spans="4:16" s="364" customFormat="1">
      <c r="D175" s="644"/>
      <c r="E175" s="644"/>
      <c r="F175" s="644"/>
      <c r="G175" s="644"/>
      <c r="H175" s="644"/>
      <c r="I175" s="644"/>
      <c r="J175" s="644"/>
      <c r="K175" s="644"/>
      <c r="L175" s="644"/>
      <c r="M175" s="644"/>
      <c r="N175" s="644"/>
      <c r="O175" s="644"/>
      <c r="P175" s="644"/>
    </row>
    <row r="176" spans="4:16" s="364" customFormat="1">
      <c r="D176" s="644"/>
      <c r="E176" s="644"/>
      <c r="F176" s="644"/>
      <c r="G176" s="644"/>
      <c r="H176" s="644"/>
      <c r="I176" s="644"/>
      <c r="J176" s="644"/>
      <c r="K176" s="644"/>
      <c r="L176" s="644"/>
      <c r="M176" s="644"/>
      <c r="N176" s="644"/>
      <c r="O176" s="644"/>
      <c r="P176" s="644"/>
    </row>
    <row r="177" spans="4:16" s="364" customFormat="1">
      <c r="D177" s="644"/>
      <c r="E177" s="644"/>
      <c r="F177" s="644"/>
      <c r="G177" s="644"/>
      <c r="H177" s="644"/>
      <c r="I177" s="644"/>
      <c r="J177" s="644"/>
      <c r="K177" s="644"/>
      <c r="L177" s="644"/>
      <c r="M177" s="644"/>
      <c r="N177" s="644"/>
      <c r="O177" s="644"/>
      <c r="P177" s="644"/>
    </row>
    <row r="178" spans="4:16" s="364" customFormat="1">
      <c r="D178" s="644"/>
      <c r="E178" s="644"/>
      <c r="F178" s="644"/>
      <c r="G178" s="644"/>
      <c r="H178" s="644"/>
      <c r="I178" s="644"/>
      <c r="J178" s="644"/>
      <c r="K178" s="644"/>
      <c r="L178" s="644"/>
      <c r="M178" s="644"/>
      <c r="N178" s="644"/>
      <c r="O178" s="644"/>
      <c r="P178" s="644"/>
    </row>
    <row r="179" spans="4:16" s="364" customFormat="1">
      <c r="D179" s="644"/>
      <c r="E179" s="644"/>
      <c r="F179" s="644"/>
      <c r="G179" s="644"/>
      <c r="H179" s="644"/>
      <c r="I179" s="644"/>
      <c r="J179" s="644"/>
      <c r="K179" s="644"/>
      <c r="L179" s="644"/>
      <c r="M179" s="644"/>
      <c r="N179" s="644"/>
      <c r="O179" s="644"/>
      <c r="P179" s="644"/>
    </row>
    <row r="180" spans="4:16" s="364" customFormat="1">
      <c r="D180" s="644"/>
      <c r="E180" s="644"/>
      <c r="F180" s="644"/>
      <c r="G180" s="644"/>
      <c r="H180" s="644"/>
      <c r="I180" s="644"/>
      <c r="J180" s="644"/>
      <c r="K180" s="644"/>
      <c r="L180" s="644"/>
      <c r="M180" s="644"/>
      <c r="N180" s="644"/>
      <c r="O180" s="644"/>
      <c r="P180" s="644"/>
    </row>
    <row r="181" spans="4:16" s="364" customFormat="1">
      <c r="D181" s="644"/>
      <c r="E181" s="644"/>
      <c r="F181" s="644"/>
      <c r="G181" s="644"/>
      <c r="H181" s="644"/>
      <c r="I181" s="644"/>
      <c r="J181" s="644"/>
      <c r="K181" s="644"/>
      <c r="L181" s="644"/>
      <c r="M181" s="644"/>
      <c r="N181" s="644"/>
      <c r="O181" s="644"/>
      <c r="P181" s="644"/>
    </row>
    <row r="182" spans="4:16" s="364" customFormat="1">
      <c r="D182" s="644"/>
      <c r="E182" s="644"/>
      <c r="F182" s="644"/>
      <c r="G182" s="644"/>
      <c r="H182" s="644"/>
      <c r="I182" s="644"/>
      <c r="J182" s="644"/>
      <c r="K182" s="644"/>
      <c r="L182" s="644"/>
      <c r="M182" s="644"/>
      <c r="N182" s="644"/>
      <c r="O182" s="644"/>
      <c r="P182" s="644"/>
    </row>
    <row r="183" spans="4:16" s="364" customFormat="1">
      <c r="D183" s="644"/>
      <c r="E183" s="644"/>
      <c r="F183" s="644"/>
      <c r="G183" s="644"/>
      <c r="H183" s="644"/>
      <c r="I183" s="644"/>
      <c r="J183" s="644"/>
      <c r="K183" s="644"/>
      <c r="L183" s="644"/>
      <c r="M183" s="644"/>
      <c r="N183" s="644"/>
      <c r="O183" s="644"/>
      <c r="P183" s="644"/>
    </row>
    <row r="184" spans="4:16" s="364" customFormat="1">
      <c r="D184" s="644"/>
      <c r="E184" s="644"/>
      <c r="F184" s="644"/>
      <c r="G184" s="644"/>
      <c r="H184" s="644"/>
      <c r="I184" s="644"/>
      <c r="J184" s="644"/>
      <c r="K184" s="644"/>
      <c r="L184" s="644"/>
      <c r="M184" s="644"/>
      <c r="N184" s="644"/>
      <c r="O184" s="644"/>
      <c r="P184" s="644"/>
    </row>
    <row r="185" spans="4:16" s="364" customFormat="1">
      <c r="D185" s="644"/>
      <c r="E185" s="644"/>
      <c r="F185" s="644"/>
      <c r="G185" s="644"/>
      <c r="H185" s="644"/>
      <c r="I185" s="644"/>
      <c r="J185" s="644"/>
      <c r="K185" s="644"/>
      <c r="L185" s="644"/>
      <c r="M185" s="644"/>
      <c r="N185" s="644"/>
      <c r="O185" s="644"/>
      <c r="P185" s="644"/>
    </row>
    <row r="186" spans="4:16" s="364" customFormat="1">
      <c r="D186" s="644"/>
      <c r="E186" s="644"/>
      <c r="F186" s="644"/>
      <c r="G186" s="644"/>
      <c r="H186" s="644"/>
      <c r="I186" s="644"/>
      <c r="J186" s="644"/>
      <c r="K186" s="644"/>
      <c r="L186" s="644"/>
      <c r="M186" s="644"/>
      <c r="N186" s="644"/>
      <c r="O186" s="644"/>
      <c r="P186" s="644"/>
    </row>
    <row r="187" spans="4:16" s="364" customFormat="1">
      <c r="D187" s="644"/>
      <c r="E187" s="644"/>
      <c r="F187" s="644"/>
      <c r="G187" s="644"/>
      <c r="H187" s="644"/>
      <c r="I187" s="644"/>
      <c r="J187" s="644"/>
      <c r="K187" s="644"/>
      <c r="L187" s="644"/>
      <c r="M187" s="644"/>
      <c r="N187" s="644"/>
      <c r="O187" s="644"/>
      <c r="P187" s="644"/>
    </row>
    <row r="188" spans="4:16" s="364" customFormat="1">
      <c r="D188" s="644"/>
      <c r="E188" s="644"/>
      <c r="F188" s="644"/>
      <c r="G188" s="644"/>
      <c r="H188" s="644"/>
      <c r="I188" s="644"/>
      <c r="J188" s="644"/>
      <c r="K188" s="644"/>
      <c r="L188" s="644"/>
      <c r="M188" s="644"/>
      <c r="N188" s="644"/>
      <c r="O188" s="644"/>
      <c r="P188" s="644"/>
    </row>
    <row r="189" spans="4:16" s="364" customFormat="1">
      <c r="D189" s="644"/>
      <c r="E189" s="644"/>
      <c r="F189" s="644"/>
      <c r="G189" s="644"/>
      <c r="H189" s="644"/>
      <c r="I189" s="644"/>
      <c r="J189" s="644"/>
      <c r="K189" s="644"/>
      <c r="L189" s="644"/>
      <c r="M189" s="644"/>
      <c r="N189" s="644"/>
      <c r="O189" s="644"/>
      <c r="P189" s="644"/>
    </row>
    <row r="190" spans="4:16" s="364" customFormat="1">
      <c r="D190" s="644"/>
      <c r="E190" s="644"/>
      <c r="F190" s="644"/>
      <c r="G190" s="644"/>
      <c r="H190" s="644"/>
      <c r="I190" s="644"/>
      <c r="J190" s="644"/>
      <c r="K190" s="644"/>
      <c r="L190" s="644"/>
      <c r="M190" s="644"/>
      <c r="N190" s="644"/>
      <c r="O190" s="644"/>
      <c r="P190" s="644"/>
    </row>
    <row r="191" spans="4:16" s="364" customFormat="1">
      <c r="D191" s="644"/>
      <c r="E191" s="644"/>
      <c r="F191" s="644"/>
      <c r="G191" s="644"/>
      <c r="H191" s="644"/>
      <c r="I191" s="644"/>
      <c r="J191" s="644"/>
      <c r="K191" s="644"/>
      <c r="L191" s="644"/>
      <c r="M191" s="644"/>
      <c r="N191" s="644"/>
      <c r="O191" s="644"/>
      <c r="P191" s="644"/>
    </row>
    <row r="192" spans="4:16" s="364" customFormat="1">
      <c r="D192" s="644"/>
      <c r="E192" s="644"/>
      <c r="F192" s="644"/>
      <c r="G192" s="644"/>
      <c r="H192" s="644"/>
      <c r="I192" s="644"/>
      <c r="J192" s="644"/>
      <c r="K192" s="644"/>
      <c r="L192" s="644"/>
      <c r="M192" s="644"/>
      <c r="N192" s="644"/>
      <c r="O192" s="644"/>
      <c r="P192" s="644"/>
    </row>
    <row r="193" spans="4:16" s="364" customFormat="1">
      <c r="D193" s="644"/>
      <c r="E193" s="644"/>
      <c r="F193" s="644"/>
      <c r="G193" s="644"/>
      <c r="H193" s="644"/>
      <c r="I193" s="644"/>
      <c r="J193" s="644"/>
      <c r="K193" s="644"/>
      <c r="L193" s="644"/>
      <c r="M193" s="644"/>
      <c r="N193" s="644"/>
      <c r="O193" s="644"/>
      <c r="P193" s="644"/>
    </row>
    <row r="194" spans="4:16" s="364" customFormat="1">
      <c r="D194" s="644"/>
      <c r="E194" s="644"/>
      <c r="F194" s="644"/>
      <c r="G194" s="644"/>
      <c r="H194" s="644"/>
      <c r="I194" s="644"/>
      <c r="J194" s="644"/>
      <c r="K194" s="644"/>
      <c r="L194" s="644"/>
      <c r="M194" s="644"/>
      <c r="N194" s="644"/>
      <c r="O194" s="644"/>
      <c r="P194" s="644"/>
    </row>
    <row r="195" spans="4:16" s="364" customFormat="1">
      <c r="D195" s="644"/>
      <c r="E195" s="644"/>
      <c r="F195" s="644"/>
      <c r="G195" s="644"/>
      <c r="H195" s="644"/>
      <c r="I195" s="644"/>
      <c r="J195" s="644"/>
      <c r="K195" s="644"/>
      <c r="L195" s="644"/>
      <c r="M195" s="644"/>
      <c r="N195" s="644"/>
      <c r="O195" s="644"/>
      <c r="P195" s="644"/>
    </row>
    <row r="196" spans="4:16" s="364" customFormat="1">
      <c r="D196" s="644"/>
      <c r="E196" s="644"/>
      <c r="F196" s="644"/>
      <c r="G196" s="644"/>
      <c r="H196" s="644"/>
      <c r="I196" s="644"/>
      <c r="J196" s="644"/>
      <c r="K196" s="644"/>
      <c r="L196" s="644"/>
      <c r="M196" s="644"/>
      <c r="N196" s="644"/>
      <c r="O196" s="644"/>
      <c r="P196" s="644"/>
    </row>
    <row r="197" spans="4:16" s="364" customFormat="1">
      <c r="D197" s="644"/>
      <c r="E197" s="644"/>
      <c r="F197" s="644"/>
      <c r="G197" s="644"/>
      <c r="H197" s="644"/>
      <c r="I197" s="644"/>
      <c r="J197" s="644"/>
      <c r="K197" s="644"/>
      <c r="L197" s="644"/>
      <c r="M197" s="644"/>
      <c r="N197" s="644"/>
      <c r="O197" s="644"/>
      <c r="P197" s="644"/>
    </row>
    <row r="198" spans="4:16" s="364" customFormat="1">
      <c r="D198" s="644"/>
      <c r="E198" s="644"/>
      <c r="F198" s="644"/>
      <c r="G198" s="644"/>
      <c r="H198" s="644"/>
      <c r="I198" s="644"/>
      <c r="J198" s="644"/>
      <c r="K198" s="644"/>
      <c r="L198" s="644"/>
      <c r="M198" s="644"/>
      <c r="N198" s="644"/>
      <c r="O198" s="644"/>
      <c r="P198" s="644"/>
    </row>
    <row r="199" spans="4:16" s="364" customFormat="1">
      <c r="D199" s="644"/>
      <c r="E199" s="644"/>
      <c r="F199" s="644"/>
      <c r="G199" s="644"/>
      <c r="H199" s="644"/>
      <c r="I199" s="644"/>
      <c r="J199" s="644"/>
      <c r="K199" s="644"/>
      <c r="L199" s="644"/>
      <c r="M199" s="644"/>
      <c r="N199" s="644"/>
      <c r="O199" s="644"/>
      <c r="P199" s="644"/>
    </row>
    <row r="200" spans="4:16" s="364" customFormat="1">
      <c r="D200" s="644"/>
      <c r="E200" s="644"/>
      <c r="F200" s="644"/>
      <c r="G200" s="644"/>
      <c r="H200" s="644"/>
      <c r="I200" s="644"/>
      <c r="J200" s="644"/>
      <c r="K200" s="644"/>
      <c r="L200" s="644"/>
      <c r="M200" s="644"/>
      <c r="N200" s="644"/>
      <c r="O200" s="644"/>
      <c r="P200" s="644"/>
    </row>
    <row r="201" spans="4:16" s="364" customFormat="1">
      <c r="D201" s="644"/>
      <c r="E201" s="644"/>
      <c r="F201" s="644"/>
      <c r="G201" s="644"/>
      <c r="H201" s="644"/>
      <c r="I201" s="644"/>
      <c r="J201" s="644"/>
      <c r="K201" s="644"/>
      <c r="L201" s="644"/>
      <c r="M201" s="644"/>
      <c r="N201" s="644"/>
      <c r="O201" s="644"/>
      <c r="P201" s="644"/>
    </row>
    <row r="202" spans="4:16" s="364" customFormat="1">
      <c r="D202" s="644"/>
      <c r="E202" s="644"/>
      <c r="F202" s="644"/>
      <c r="G202" s="644"/>
      <c r="H202" s="644"/>
      <c r="I202" s="644"/>
      <c r="J202" s="644"/>
      <c r="K202" s="644"/>
      <c r="L202" s="644"/>
      <c r="M202" s="644"/>
      <c r="N202" s="644"/>
      <c r="O202" s="644"/>
      <c r="P202" s="644"/>
    </row>
    <row r="203" spans="4:16" s="364" customFormat="1">
      <c r="D203" s="644"/>
      <c r="E203" s="644"/>
      <c r="F203" s="644"/>
      <c r="G203" s="644"/>
      <c r="H203" s="644"/>
      <c r="I203" s="644"/>
      <c r="J203" s="644"/>
      <c r="K203" s="644"/>
      <c r="L203" s="644"/>
      <c r="M203" s="644"/>
      <c r="N203" s="644"/>
      <c r="O203" s="644"/>
      <c r="P203" s="644"/>
    </row>
    <row r="204" spans="4:16" s="364" customFormat="1">
      <c r="D204" s="644"/>
      <c r="E204" s="644"/>
      <c r="F204" s="644"/>
      <c r="G204" s="644"/>
      <c r="H204" s="644"/>
      <c r="I204" s="644"/>
      <c r="J204" s="644"/>
      <c r="K204" s="644"/>
      <c r="L204" s="644"/>
      <c r="M204" s="644"/>
      <c r="N204" s="644"/>
      <c r="O204" s="644"/>
      <c r="P204" s="644"/>
    </row>
    <row r="205" spans="4:16" s="364" customFormat="1">
      <c r="D205" s="644"/>
      <c r="E205" s="644"/>
      <c r="F205" s="644"/>
      <c r="G205" s="644"/>
      <c r="H205" s="644"/>
      <c r="I205" s="644"/>
      <c r="J205" s="644"/>
      <c r="K205" s="644"/>
      <c r="L205" s="644"/>
      <c r="M205" s="644"/>
      <c r="N205" s="644"/>
      <c r="O205" s="644"/>
      <c r="P205" s="644"/>
    </row>
    <row r="206" spans="4:16" s="364" customFormat="1">
      <c r="D206" s="644"/>
      <c r="E206" s="644"/>
      <c r="F206" s="644"/>
      <c r="G206" s="644"/>
      <c r="H206" s="644"/>
      <c r="I206" s="644"/>
      <c r="J206" s="644"/>
      <c r="K206" s="644"/>
      <c r="L206" s="644"/>
      <c r="M206" s="644"/>
      <c r="N206" s="644"/>
      <c r="O206" s="644"/>
      <c r="P206" s="644"/>
    </row>
    <row r="207" spans="4:16" s="364" customFormat="1">
      <c r="D207" s="644"/>
      <c r="E207" s="644"/>
      <c r="F207" s="644"/>
      <c r="G207" s="644"/>
      <c r="H207" s="644"/>
      <c r="I207" s="644"/>
      <c r="J207" s="644"/>
      <c r="K207" s="644"/>
      <c r="L207" s="644"/>
      <c r="M207" s="644"/>
      <c r="N207" s="644"/>
      <c r="O207" s="644"/>
      <c r="P207" s="644"/>
    </row>
    <row r="208" spans="4:16" s="364" customFormat="1">
      <c r="D208" s="644"/>
      <c r="E208" s="644"/>
      <c r="F208" s="644"/>
      <c r="G208" s="644"/>
      <c r="H208" s="644"/>
      <c r="I208" s="644"/>
      <c r="J208" s="644"/>
      <c r="K208" s="644"/>
      <c r="L208" s="644"/>
      <c r="M208" s="644"/>
      <c r="N208" s="644"/>
      <c r="O208" s="644"/>
      <c r="P208" s="644"/>
    </row>
    <row r="209" spans="4:16" s="364" customFormat="1">
      <c r="D209" s="644"/>
      <c r="E209" s="644"/>
      <c r="F209" s="644"/>
      <c r="G209" s="644"/>
      <c r="H209" s="644"/>
      <c r="I209" s="644"/>
      <c r="J209" s="644"/>
      <c r="K209" s="644"/>
      <c r="L209" s="644"/>
      <c r="M209" s="644"/>
      <c r="N209" s="644"/>
      <c r="O209" s="644"/>
      <c r="P209" s="644"/>
    </row>
    <row r="210" spans="4:16" s="364" customFormat="1">
      <c r="D210" s="644"/>
      <c r="E210" s="644"/>
      <c r="F210" s="644"/>
      <c r="G210" s="644"/>
      <c r="H210" s="644"/>
      <c r="I210" s="644"/>
      <c r="J210" s="644"/>
      <c r="K210" s="644"/>
      <c r="L210" s="644"/>
      <c r="M210" s="644"/>
      <c r="N210" s="644"/>
      <c r="O210" s="644"/>
      <c r="P210" s="644"/>
    </row>
    <row r="211" spans="4:16" s="364" customFormat="1">
      <c r="D211" s="644"/>
      <c r="E211" s="644"/>
      <c r="F211" s="644"/>
      <c r="G211" s="644"/>
      <c r="H211" s="644"/>
      <c r="I211" s="644"/>
      <c r="J211" s="644"/>
      <c r="K211" s="644"/>
      <c r="L211" s="644"/>
      <c r="M211" s="644"/>
      <c r="N211" s="644"/>
      <c r="O211" s="644"/>
      <c r="P211" s="644"/>
    </row>
    <row r="212" spans="4:16" s="364" customFormat="1">
      <c r="D212" s="644"/>
      <c r="E212" s="644"/>
      <c r="F212" s="644"/>
      <c r="G212" s="644"/>
      <c r="H212" s="644"/>
      <c r="I212" s="644"/>
      <c r="J212" s="644"/>
      <c r="K212" s="644"/>
      <c r="L212" s="644"/>
      <c r="M212" s="644"/>
      <c r="N212" s="644"/>
      <c r="O212" s="644"/>
      <c r="P212" s="644"/>
    </row>
    <row r="213" spans="4:16" s="364" customFormat="1">
      <c r="D213" s="644"/>
      <c r="E213" s="644"/>
      <c r="F213" s="644"/>
      <c r="G213" s="644"/>
      <c r="H213" s="644"/>
      <c r="I213" s="644"/>
      <c r="J213" s="644"/>
      <c r="K213" s="644"/>
      <c r="L213" s="644"/>
      <c r="M213" s="644"/>
      <c r="N213" s="644"/>
      <c r="O213" s="644"/>
      <c r="P213" s="644"/>
    </row>
    <row r="214" spans="4:16" s="364" customFormat="1">
      <c r="D214" s="644"/>
      <c r="E214" s="644"/>
      <c r="F214" s="644"/>
      <c r="G214" s="644"/>
      <c r="H214" s="644"/>
      <c r="I214" s="644"/>
      <c r="J214" s="644"/>
      <c r="K214" s="644"/>
      <c r="L214" s="644"/>
      <c r="M214" s="644"/>
      <c r="N214" s="644"/>
      <c r="O214" s="644"/>
      <c r="P214" s="644"/>
    </row>
    <row r="215" spans="4:16" s="364" customFormat="1">
      <c r="D215" s="644"/>
      <c r="E215" s="644"/>
      <c r="F215" s="644"/>
      <c r="G215" s="644"/>
      <c r="H215" s="644"/>
      <c r="I215" s="644"/>
      <c r="J215" s="644"/>
      <c r="K215" s="644"/>
      <c r="L215" s="644"/>
      <c r="M215" s="644"/>
      <c r="N215" s="644"/>
      <c r="O215" s="644"/>
      <c r="P215" s="644"/>
    </row>
    <row r="216" spans="4:16" s="364" customFormat="1">
      <c r="D216" s="644"/>
      <c r="E216" s="644"/>
      <c r="F216" s="644"/>
      <c r="G216" s="644"/>
      <c r="H216" s="644"/>
      <c r="I216" s="644"/>
      <c r="J216" s="644"/>
      <c r="K216" s="644"/>
      <c r="L216" s="644"/>
      <c r="M216" s="644"/>
      <c r="N216" s="644"/>
      <c r="O216" s="644"/>
      <c r="P216" s="644"/>
    </row>
    <row r="217" spans="4:16" s="364" customFormat="1">
      <c r="D217" s="644"/>
      <c r="E217" s="644"/>
      <c r="F217" s="644"/>
      <c r="G217" s="644"/>
      <c r="H217" s="644"/>
      <c r="I217" s="644"/>
      <c r="J217" s="644"/>
      <c r="K217" s="644"/>
      <c r="L217" s="644"/>
      <c r="M217" s="644"/>
      <c r="N217" s="644"/>
      <c r="O217" s="644"/>
      <c r="P217" s="644"/>
    </row>
    <row r="218" spans="4:16" s="364" customFormat="1">
      <c r="D218" s="644"/>
      <c r="E218" s="644"/>
      <c r="F218" s="644"/>
      <c r="G218" s="644"/>
      <c r="H218" s="644"/>
      <c r="I218" s="644"/>
      <c r="J218" s="644"/>
      <c r="K218" s="644"/>
      <c r="L218" s="644"/>
      <c r="M218" s="644"/>
      <c r="N218" s="644"/>
      <c r="O218" s="644"/>
      <c r="P218" s="644"/>
    </row>
    <row r="219" spans="4:16" s="364" customFormat="1">
      <c r="D219" s="644"/>
      <c r="E219" s="644"/>
      <c r="F219" s="644"/>
      <c r="G219" s="644"/>
      <c r="H219" s="644"/>
      <c r="I219" s="644"/>
      <c r="J219" s="644"/>
      <c r="K219" s="644"/>
      <c r="L219" s="644"/>
      <c r="M219" s="644"/>
      <c r="N219" s="644"/>
      <c r="O219" s="644"/>
      <c r="P219" s="644"/>
    </row>
    <row r="220" spans="4:16" s="364" customFormat="1">
      <c r="D220" s="644"/>
      <c r="E220" s="644"/>
      <c r="F220" s="644"/>
      <c r="G220" s="644"/>
      <c r="H220" s="644"/>
      <c r="I220" s="644"/>
      <c r="J220" s="644"/>
      <c r="K220" s="644"/>
      <c r="L220" s="644"/>
      <c r="M220" s="644"/>
      <c r="N220" s="644"/>
      <c r="O220" s="644"/>
      <c r="P220" s="644"/>
    </row>
    <row r="221" spans="4:16" s="364" customFormat="1">
      <c r="D221" s="644"/>
      <c r="E221" s="644"/>
      <c r="F221" s="644"/>
      <c r="G221" s="644"/>
      <c r="H221" s="644"/>
      <c r="I221" s="644"/>
      <c r="J221" s="644"/>
      <c r="K221" s="644"/>
      <c r="L221" s="644"/>
      <c r="M221" s="644"/>
      <c r="N221" s="644"/>
      <c r="O221" s="644"/>
      <c r="P221" s="644"/>
    </row>
    <row r="222" spans="4:16" s="364" customFormat="1">
      <c r="D222" s="644"/>
      <c r="E222" s="644"/>
      <c r="F222" s="644"/>
      <c r="G222" s="644"/>
      <c r="H222" s="644"/>
      <c r="I222" s="644"/>
      <c r="J222" s="644"/>
      <c r="K222" s="644"/>
      <c r="L222" s="644"/>
      <c r="M222" s="644"/>
      <c r="N222" s="644"/>
      <c r="O222" s="644"/>
      <c r="P222" s="644"/>
    </row>
    <row r="223" spans="4:16" s="364" customFormat="1">
      <c r="D223" s="644"/>
      <c r="E223" s="644"/>
      <c r="F223" s="644"/>
      <c r="G223" s="644"/>
      <c r="H223" s="644"/>
      <c r="I223" s="644"/>
      <c r="J223" s="644"/>
      <c r="K223" s="644"/>
      <c r="L223" s="644"/>
      <c r="M223" s="644"/>
      <c r="N223" s="644"/>
      <c r="O223" s="644"/>
      <c r="P223" s="644"/>
    </row>
    <row r="224" spans="4:16" s="364" customFormat="1">
      <c r="D224" s="644"/>
      <c r="E224" s="644"/>
      <c r="F224" s="644"/>
      <c r="G224" s="644"/>
      <c r="H224" s="644"/>
      <c r="I224" s="644"/>
      <c r="J224" s="644"/>
      <c r="K224" s="644"/>
      <c r="L224" s="644"/>
      <c r="M224" s="644"/>
      <c r="N224" s="644"/>
      <c r="O224" s="644"/>
      <c r="P224" s="644"/>
    </row>
    <row r="225" spans="4:16" s="364" customFormat="1">
      <c r="D225" s="644"/>
      <c r="E225" s="644"/>
      <c r="F225" s="644"/>
      <c r="G225" s="644"/>
      <c r="H225" s="644"/>
      <c r="I225" s="644"/>
      <c r="J225" s="644"/>
      <c r="K225" s="644"/>
      <c r="L225" s="644"/>
      <c r="M225" s="644"/>
      <c r="N225" s="644"/>
      <c r="O225" s="644"/>
      <c r="P225" s="644"/>
    </row>
    <row r="226" spans="4:16" s="364" customFormat="1">
      <c r="D226" s="644"/>
      <c r="E226" s="644"/>
      <c r="F226" s="644"/>
      <c r="G226" s="644"/>
      <c r="H226" s="644"/>
      <c r="I226" s="644"/>
      <c r="J226" s="644"/>
      <c r="K226" s="644"/>
      <c r="L226" s="644"/>
      <c r="M226" s="644"/>
      <c r="N226" s="644"/>
      <c r="O226" s="644"/>
      <c r="P226" s="644"/>
    </row>
    <row r="227" spans="4:16" s="364" customFormat="1">
      <c r="D227" s="644"/>
      <c r="E227" s="644"/>
      <c r="F227" s="644"/>
      <c r="G227" s="644"/>
      <c r="H227" s="644"/>
      <c r="I227" s="644"/>
      <c r="J227" s="644"/>
      <c r="K227" s="644"/>
      <c r="L227" s="644"/>
      <c r="M227" s="644"/>
      <c r="N227" s="644"/>
      <c r="O227" s="644"/>
      <c r="P227" s="644"/>
    </row>
    <row r="228" spans="4:16" s="364" customFormat="1">
      <c r="D228" s="644"/>
      <c r="E228" s="644"/>
      <c r="F228" s="644"/>
      <c r="G228" s="644"/>
      <c r="H228" s="644"/>
      <c r="I228" s="644"/>
      <c r="J228" s="644"/>
      <c r="K228" s="644"/>
      <c r="L228" s="644"/>
      <c r="M228" s="644"/>
      <c r="N228" s="644"/>
      <c r="O228" s="644"/>
      <c r="P228" s="644"/>
    </row>
    <row r="229" spans="4:16" s="364" customFormat="1">
      <c r="D229" s="644"/>
      <c r="E229" s="644"/>
      <c r="F229" s="644"/>
      <c r="G229" s="644"/>
      <c r="H229" s="644"/>
      <c r="I229" s="644"/>
      <c r="J229" s="644"/>
      <c r="K229" s="644"/>
      <c r="L229" s="644"/>
      <c r="M229" s="644"/>
      <c r="N229" s="644"/>
      <c r="O229" s="644"/>
      <c r="P229" s="644"/>
    </row>
    <row r="230" spans="4:16" s="364" customFormat="1">
      <c r="D230" s="644"/>
      <c r="E230" s="644"/>
      <c r="F230" s="644"/>
      <c r="G230" s="644"/>
      <c r="H230" s="644"/>
      <c r="I230" s="644"/>
      <c r="J230" s="644"/>
      <c r="K230" s="644"/>
      <c r="L230" s="644"/>
      <c r="M230" s="644"/>
      <c r="N230" s="644"/>
      <c r="O230" s="644"/>
      <c r="P230" s="644"/>
    </row>
    <row r="231" spans="4:16" s="364" customFormat="1">
      <c r="D231" s="644"/>
      <c r="E231" s="644"/>
      <c r="F231" s="644"/>
      <c r="G231" s="644"/>
      <c r="H231" s="644"/>
      <c r="I231" s="644"/>
      <c r="J231" s="644"/>
      <c r="K231" s="644"/>
      <c r="L231" s="644"/>
      <c r="M231" s="644"/>
      <c r="N231" s="644"/>
      <c r="O231" s="644"/>
      <c r="P231" s="644"/>
    </row>
    <row r="232" spans="4:16" s="364" customFormat="1">
      <c r="D232" s="644"/>
      <c r="E232" s="644"/>
      <c r="F232" s="644"/>
      <c r="G232" s="644"/>
      <c r="H232" s="644"/>
      <c r="I232" s="644"/>
      <c r="J232" s="644"/>
      <c r="K232" s="644"/>
      <c r="L232" s="644"/>
      <c r="M232" s="644"/>
      <c r="N232" s="644"/>
      <c r="O232" s="644"/>
      <c r="P232" s="644"/>
    </row>
    <row r="233" spans="4:16" s="364" customFormat="1">
      <c r="D233" s="644"/>
      <c r="E233" s="644"/>
      <c r="F233" s="644"/>
      <c r="G233" s="644"/>
      <c r="H233" s="644"/>
      <c r="I233" s="644"/>
      <c r="J233" s="644"/>
      <c r="K233" s="644"/>
      <c r="L233" s="644"/>
      <c r="M233" s="644"/>
      <c r="N233" s="644"/>
      <c r="O233" s="644"/>
      <c r="P233" s="644"/>
    </row>
    <row r="234" spans="4:16" s="364" customFormat="1">
      <c r="D234" s="644"/>
      <c r="E234" s="644"/>
      <c r="F234" s="644"/>
      <c r="G234" s="644"/>
      <c r="H234" s="644"/>
      <c r="I234" s="644"/>
      <c r="J234" s="644"/>
      <c r="K234" s="644"/>
      <c r="L234" s="644"/>
      <c r="M234" s="644"/>
      <c r="N234" s="644"/>
      <c r="O234" s="644"/>
      <c r="P234" s="644"/>
    </row>
    <row r="235" spans="4:16" s="364" customFormat="1">
      <c r="D235" s="644"/>
      <c r="E235" s="644"/>
      <c r="F235" s="644"/>
      <c r="G235" s="644"/>
      <c r="H235" s="644"/>
      <c r="I235" s="644"/>
      <c r="J235" s="644"/>
      <c r="K235" s="644"/>
      <c r="L235" s="644"/>
      <c r="M235" s="644"/>
      <c r="N235" s="644"/>
      <c r="O235" s="644"/>
      <c r="P235" s="644"/>
    </row>
    <row r="236" spans="4:16" s="364" customFormat="1">
      <c r="D236" s="644"/>
      <c r="E236" s="644"/>
      <c r="F236" s="644"/>
      <c r="G236" s="644"/>
      <c r="H236" s="644"/>
      <c r="I236" s="644"/>
      <c r="J236" s="644"/>
      <c r="K236" s="644"/>
      <c r="L236" s="644"/>
      <c r="M236" s="644"/>
      <c r="N236" s="644"/>
      <c r="O236" s="644"/>
      <c r="P236" s="644"/>
    </row>
    <row r="237" spans="4:16" s="364" customFormat="1">
      <c r="D237" s="644"/>
      <c r="E237" s="644"/>
      <c r="F237" s="644"/>
      <c r="G237" s="644"/>
      <c r="H237" s="644"/>
      <c r="I237" s="644"/>
      <c r="J237" s="644"/>
      <c r="K237" s="644"/>
      <c r="L237" s="644"/>
      <c r="M237" s="644"/>
      <c r="N237" s="644"/>
      <c r="O237" s="644"/>
      <c r="P237" s="644"/>
    </row>
    <row r="238" spans="4:16" s="364" customFormat="1">
      <c r="D238" s="644"/>
      <c r="E238" s="644"/>
      <c r="F238" s="644"/>
      <c r="G238" s="644"/>
      <c r="H238" s="644"/>
      <c r="I238" s="644"/>
      <c r="J238" s="644"/>
      <c r="K238" s="644"/>
      <c r="L238" s="644"/>
      <c r="M238" s="644"/>
      <c r="N238" s="644"/>
      <c r="O238" s="644"/>
      <c r="P238" s="644"/>
    </row>
    <row r="239" spans="4:16" s="364" customFormat="1">
      <c r="D239" s="644"/>
      <c r="E239" s="644"/>
      <c r="F239" s="644"/>
      <c r="G239" s="644"/>
      <c r="H239" s="644"/>
      <c r="I239" s="644"/>
      <c r="J239" s="644"/>
      <c r="K239" s="644"/>
      <c r="L239" s="644"/>
      <c r="M239" s="644"/>
      <c r="N239" s="644"/>
      <c r="O239" s="644"/>
      <c r="P239" s="644"/>
    </row>
    <row r="240" spans="4:16" s="364" customFormat="1">
      <c r="D240" s="644"/>
      <c r="E240" s="644"/>
      <c r="F240" s="644"/>
      <c r="G240" s="644"/>
      <c r="H240" s="644"/>
      <c r="I240" s="644"/>
      <c r="J240" s="644"/>
      <c r="K240" s="644"/>
      <c r="L240" s="644"/>
      <c r="M240" s="644"/>
      <c r="N240" s="644"/>
      <c r="O240" s="644"/>
      <c r="P240" s="644"/>
    </row>
    <row r="241" spans="4:16" s="364" customFormat="1">
      <c r="D241" s="644"/>
      <c r="E241" s="644"/>
      <c r="F241" s="644"/>
      <c r="G241" s="644"/>
      <c r="H241" s="644"/>
      <c r="I241" s="644"/>
      <c r="J241" s="644"/>
      <c r="K241" s="644"/>
      <c r="L241" s="644"/>
      <c r="M241" s="644"/>
      <c r="N241" s="644"/>
      <c r="O241" s="644"/>
      <c r="P241" s="644"/>
    </row>
    <row r="242" spans="4:16" s="364" customFormat="1">
      <c r="D242" s="644"/>
      <c r="E242" s="644"/>
      <c r="F242" s="644"/>
      <c r="G242" s="644"/>
      <c r="H242" s="644"/>
      <c r="I242" s="644"/>
      <c r="J242" s="644"/>
      <c r="K242" s="644"/>
      <c r="L242" s="644"/>
      <c r="M242" s="644"/>
      <c r="N242" s="644"/>
      <c r="O242" s="644"/>
      <c r="P242" s="644"/>
    </row>
    <row r="243" spans="4:16" s="364" customFormat="1">
      <c r="D243" s="644"/>
      <c r="E243" s="644"/>
      <c r="F243" s="644"/>
      <c r="G243" s="644"/>
      <c r="H243" s="644"/>
      <c r="I243" s="644"/>
      <c r="J243" s="644"/>
      <c r="K243" s="644"/>
      <c r="L243" s="644"/>
      <c r="M243" s="644"/>
      <c r="N243" s="644"/>
      <c r="O243" s="644"/>
      <c r="P243" s="644"/>
    </row>
    <row r="244" spans="4:16" s="364" customFormat="1">
      <c r="D244" s="644"/>
      <c r="E244" s="644"/>
      <c r="F244" s="644"/>
      <c r="G244" s="644"/>
      <c r="H244" s="644"/>
      <c r="I244" s="644"/>
      <c r="J244" s="644"/>
      <c r="K244" s="644"/>
      <c r="L244" s="644"/>
      <c r="M244" s="644"/>
      <c r="N244" s="644"/>
      <c r="O244" s="644"/>
      <c r="P244" s="644"/>
    </row>
    <row r="245" spans="4:16" s="364" customFormat="1">
      <c r="D245" s="644"/>
      <c r="E245" s="644"/>
      <c r="F245" s="644"/>
      <c r="G245" s="644"/>
      <c r="H245" s="644"/>
      <c r="I245" s="644"/>
      <c r="J245" s="644"/>
      <c r="K245" s="644"/>
      <c r="L245" s="644"/>
      <c r="M245" s="644"/>
      <c r="N245" s="644"/>
      <c r="O245" s="644"/>
      <c r="P245" s="644"/>
    </row>
    <row r="246" spans="4:16" s="364" customFormat="1">
      <c r="D246" s="644"/>
      <c r="E246" s="644"/>
      <c r="F246" s="644"/>
      <c r="G246" s="644"/>
      <c r="H246" s="644"/>
      <c r="I246" s="644"/>
      <c r="J246" s="644"/>
      <c r="K246" s="644"/>
      <c r="L246" s="644"/>
      <c r="M246" s="644"/>
      <c r="N246" s="644"/>
      <c r="O246" s="644"/>
      <c r="P246" s="644"/>
    </row>
    <row r="247" spans="4:16" s="364" customFormat="1">
      <c r="D247" s="644"/>
      <c r="E247" s="644"/>
      <c r="F247" s="644"/>
      <c r="G247" s="644"/>
      <c r="H247" s="644"/>
      <c r="I247" s="644"/>
      <c r="J247" s="644"/>
      <c r="K247" s="644"/>
      <c r="L247" s="644"/>
      <c r="M247" s="644"/>
      <c r="N247" s="644"/>
      <c r="O247" s="644"/>
      <c r="P247" s="644"/>
    </row>
    <row r="248" spans="4:16" s="364" customFormat="1">
      <c r="D248" s="644"/>
      <c r="E248" s="644"/>
      <c r="F248" s="644"/>
      <c r="G248" s="644"/>
      <c r="H248" s="644"/>
      <c r="I248" s="644"/>
      <c r="J248" s="644"/>
      <c r="K248" s="644"/>
      <c r="L248" s="644"/>
      <c r="M248" s="644"/>
      <c r="N248" s="644"/>
      <c r="O248" s="644"/>
      <c r="P248" s="644"/>
    </row>
    <row r="249" spans="4:16" s="364" customFormat="1">
      <c r="D249" s="644"/>
      <c r="E249" s="644"/>
      <c r="F249" s="644"/>
      <c r="G249" s="644"/>
      <c r="H249" s="644"/>
      <c r="I249" s="644"/>
      <c r="J249" s="644"/>
      <c r="K249" s="644"/>
      <c r="L249" s="644"/>
      <c r="M249" s="644"/>
      <c r="N249" s="644"/>
      <c r="O249" s="644"/>
      <c r="P249" s="644"/>
    </row>
    <row r="250" spans="4:16" s="364" customFormat="1">
      <c r="D250" s="644"/>
      <c r="E250" s="644"/>
      <c r="F250" s="644"/>
      <c r="G250" s="644"/>
      <c r="H250" s="644"/>
      <c r="I250" s="644"/>
      <c r="J250" s="644"/>
      <c r="K250" s="644"/>
      <c r="L250" s="644"/>
      <c r="M250" s="644"/>
      <c r="N250" s="644"/>
      <c r="O250" s="644"/>
      <c r="P250" s="644"/>
    </row>
    <row r="251" spans="4:16" s="364" customFormat="1">
      <c r="D251" s="644"/>
      <c r="E251" s="644"/>
      <c r="F251" s="644"/>
      <c r="G251" s="644"/>
      <c r="H251" s="644"/>
      <c r="I251" s="644"/>
      <c r="J251" s="644"/>
      <c r="K251" s="644"/>
      <c r="L251" s="644"/>
      <c r="M251" s="644"/>
      <c r="N251" s="644"/>
      <c r="O251" s="644"/>
      <c r="P251" s="644"/>
    </row>
    <row r="252" spans="4:16" s="364" customFormat="1">
      <c r="D252" s="644"/>
      <c r="E252" s="644"/>
      <c r="F252" s="644"/>
      <c r="G252" s="644"/>
      <c r="H252" s="644"/>
      <c r="I252" s="644"/>
      <c r="J252" s="644"/>
      <c r="K252" s="644"/>
      <c r="L252" s="644"/>
      <c r="M252" s="644"/>
      <c r="N252" s="644"/>
      <c r="O252" s="644"/>
      <c r="P252" s="644"/>
    </row>
    <row r="253" spans="4:16" s="364" customFormat="1">
      <c r="D253" s="644"/>
      <c r="E253" s="644"/>
      <c r="F253" s="644"/>
      <c r="G253" s="644"/>
      <c r="H253" s="644"/>
      <c r="I253" s="644"/>
      <c r="J253" s="644"/>
      <c r="K253" s="644"/>
      <c r="L253" s="644"/>
      <c r="M253" s="644"/>
      <c r="N253" s="644"/>
      <c r="O253" s="644"/>
      <c r="P253" s="644"/>
    </row>
    <row r="254" spans="4:16" s="364" customFormat="1">
      <c r="D254" s="644"/>
      <c r="E254" s="644"/>
      <c r="F254" s="644"/>
      <c r="G254" s="644"/>
      <c r="H254" s="644"/>
      <c r="I254" s="644"/>
      <c r="J254" s="644"/>
      <c r="K254" s="644"/>
      <c r="L254" s="644"/>
      <c r="M254" s="644"/>
      <c r="N254" s="644"/>
      <c r="O254" s="644"/>
      <c r="P254" s="644"/>
    </row>
    <row r="255" spans="4:16" s="364" customFormat="1">
      <c r="D255" s="644"/>
      <c r="E255" s="644"/>
      <c r="F255" s="644"/>
      <c r="G255" s="644"/>
      <c r="H255" s="644"/>
      <c r="I255" s="644"/>
      <c r="J255" s="644"/>
      <c r="K255" s="644"/>
      <c r="L255" s="644"/>
      <c r="M255" s="644"/>
      <c r="N255" s="644"/>
      <c r="O255" s="644"/>
      <c r="P255" s="644"/>
    </row>
    <row r="256" spans="4:16" s="364" customFormat="1">
      <c r="D256" s="644"/>
      <c r="E256" s="644"/>
      <c r="F256" s="644"/>
      <c r="G256" s="644"/>
      <c r="H256" s="644"/>
      <c r="I256" s="644"/>
      <c r="J256" s="644"/>
      <c r="K256" s="644"/>
      <c r="L256" s="644"/>
      <c r="M256" s="644"/>
      <c r="N256" s="644"/>
      <c r="O256" s="644"/>
      <c r="P256" s="644"/>
    </row>
    <row r="257" spans="4:16" s="364" customFormat="1">
      <c r="D257" s="644"/>
      <c r="E257" s="644"/>
      <c r="F257" s="644"/>
      <c r="G257" s="644"/>
      <c r="H257" s="644"/>
      <c r="I257" s="644"/>
      <c r="J257" s="644"/>
      <c r="K257" s="644"/>
      <c r="L257" s="644"/>
      <c r="M257" s="644"/>
      <c r="N257" s="644"/>
      <c r="O257" s="644"/>
      <c r="P257" s="644"/>
    </row>
    <row r="258" spans="4:16" s="364" customFormat="1">
      <c r="D258" s="644"/>
      <c r="E258" s="644"/>
      <c r="F258" s="644"/>
      <c r="G258" s="644"/>
      <c r="H258" s="644"/>
      <c r="I258" s="644"/>
      <c r="J258" s="644"/>
      <c r="K258" s="644"/>
      <c r="L258" s="644"/>
      <c r="M258" s="644"/>
      <c r="N258" s="644"/>
      <c r="O258" s="644"/>
      <c r="P258" s="644"/>
    </row>
    <row r="259" spans="4:16" s="364" customFormat="1">
      <c r="D259" s="644"/>
      <c r="E259" s="644"/>
      <c r="F259" s="644"/>
      <c r="G259" s="644"/>
      <c r="H259" s="644"/>
      <c r="I259" s="644"/>
      <c r="J259" s="644"/>
      <c r="K259" s="644"/>
      <c r="L259" s="644"/>
      <c r="M259" s="644"/>
      <c r="N259" s="644"/>
      <c r="O259" s="644"/>
      <c r="P259" s="644"/>
    </row>
    <row r="260" spans="4:16" s="364" customFormat="1">
      <c r="D260" s="644"/>
      <c r="E260" s="644"/>
      <c r="F260" s="644"/>
      <c r="G260" s="644"/>
      <c r="H260" s="644"/>
      <c r="I260" s="644"/>
      <c r="J260" s="644"/>
      <c r="K260" s="644"/>
      <c r="L260" s="644"/>
      <c r="M260" s="644"/>
      <c r="N260" s="644"/>
      <c r="O260" s="644"/>
      <c r="P260" s="644"/>
    </row>
    <row r="261" spans="4:16" s="364" customFormat="1">
      <c r="D261" s="644"/>
      <c r="E261" s="644"/>
      <c r="F261" s="644"/>
      <c r="G261" s="644"/>
      <c r="H261" s="644"/>
      <c r="I261" s="644"/>
      <c r="J261" s="644"/>
      <c r="K261" s="644"/>
      <c r="L261" s="644"/>
      <c r="M261" s="644"/>
      <c r="N261" s="644"/>
      <c r="O261" s="644"/>
      <c r="P261" s="644"/>
    </row>
    <row r="262" spans="4:16" s="364" customFormat="1">
      <c r="D262" s="644"/>
      <c r="E262" s="644"/>
      <c r="F262" s="644"/>
      <c r="G262" s="644"/>
      <c r="H262" s="644"/>
      <c r="I262" s="644"/>
      <c r="J262" s="644"/>
      <c r="K262" s="644"/>
      <c r="L262" s="644"/>
      <c r="M262" s="644"/>
      <c r="N262" s="644"/>
      <c r="O262" s="644"/>
      <c r="P262" s="644"/>
    </row>
    <row r="263" spans="4:16" s="364" customFormat="1">
      <c r="D263" s="644"/>
      <c r="E263" s="644"/>
      <c r="F263" s="644"/>
      <c r="G263" s="644"/>
      <c r="H263" s="644"/>
      <c r="I263" s="644"/>
      <c r="J263" s="644"/>
      <c r="K263" s="644"/>
      <c r="L263" s="644"/>
      <c r="M263" s="644"/>
      <c r="N263" s="644"/>
      <c r="O263" s="644"/>
      <c r="P263" s="644"/>
    </row>
    <row r="264" spans="4:16" s="364" customFormat="1">
      <c r="D264" s="644"/>
      <c r="E264" s="644"/>
      <c r="F264" s="644"/>
      <c r="G264" s="644"/>
      <c r="H264" s="644"/>
      <c r="I264" s="644"/>
      <c r="J264" s="644"/>
      <c r="K264" s="644"/>
      <c r="L264" s="644"/>
      <c r="M264" s="644"/>
      <c r="N264" s="644"/>
      <c r="O264" s="644"/>
      <c r="P264" s="644"/>
    </row>
    <row r="265" spans="4:16" s="364" customFormat="1">
      <c r="D265" s="644"/>
      <c r="E265" s="644"/>
      <c r="F265" s="644"/>
      <c r="G265" s="644"/>
      <c r="H265" s="644"/>
      <c r="I265" s="644"/>
      <c r="J265" s="644"/>
      <c r="K265" s="644"/>
      <c r="L265" s="644"/>
      <c r="M265" s="644"/>
      <c r="N265" s="644"/>
      <c r="O265" s="644"/>
      <c r="P265" s="644"/>
    </row>
    <row r="266" spans="4:16" s="364" customFormat="1">
      <c r="D266" s="644"/>
      <c r="E266" s="644"/>
      <c r="F266" s="644"/>
      <c r="G266" s="644"/>
      <c r="H266" s="644"/>
      <c r="I266" s="644"/>
      <c r="J266" s="644"/>
      <c r="K266" s="644"/>
      <c r="L266" s="644"/>
      <c r="M266" s="644"/>
      <c r="N266" s="644"/>
      <c r="O266" s="644"/>
      <c r="P266" s="644"/>
    </row>
    <row r="267" spans="4:16" s="364" customFormat="1">
      <c r="D267" s="644"/>
      <c r="E267" s="644"/>
      <c r="F267" s="644"/>
      <c r="G267" s="644"/>
      <c r="H267" s="644"/>
      <c r="I267" s="644"/>
      <c r="J267" s="644"/>
      <c r="K267" s="644"/>
      <c r="L267" s="644"/>
      <c r="M267" s="644"/>
      <c r="N267" s="644"/>
      <c r="O267" s="644"/>
      <c r="P267" s="644"/>
    </row>
    <row r="268" spans="4:16" s="364" customFormat="1">
      <c r="D268" s="644"/>
      <c r="E268" s="644"/>
      <c r="F268" s="644"/>
      <c r="G268" s="644"/>
      <c r="H268" s="644"/>
      <c r="I268" s="644"/>
      <c r="J268" s="644"/>
      <c r="K268" s="644"/>
      <c r="L268" s="644"/>
      <c r="M268" s="644"/>
      <c r="N268" s="644"/>
      <c r="O268" s="644"/>
      <c r="P268" s="644"/>
    </row>
    <row r="269" spans="4:16" s="364" customFormat="1">
      <c r="D269" s="644"/>
      <c r="E269" s="644"/>
      <c r="F269" s="644"/>
      <c r="G269" s="644"/>
      <c r="H269" s="644"/>
      <c r="I269" s="644"/>
      <c r="J269" s="644"/>
      <c r="K269" s="644"/>
      <c r="L269" s="644"/>
      <c r="M269" s="644"/>
      <c r="N269" s="644"/>
      <c r="O269" s="644"/>
      <c r="P269" s="644"/>
    </row>
    <row r="270" spans="4:16" s="364" customFormat="1">
      <c r="D270" s="644"/>
      <c r="E270" s="644"/>
      <c r="F270" s="644"/>
      <c r="G270" s="644"/>
      <c r="H270" s="644"/>
      <c r="I270" s="644"/>
      <c r="J270" s="644"/>
      <c r="K270" s="644"/>
      <c r="L270" s="644"/>
      <c r="M270" s="644"/>
      <c r="N270" s="644"/>
      <c r="O270" s="644"/>
      <c r="P270" s="644"/>
    </row>
    <row r="271" spans="4:16" s="364" customFormat="1">
      <c r="D271" s="644"/>
      <c r="E271" s="644"/>
      <c r="F271" s="644"/>
      <c r="G271" s="644"/>
      <c r="H271" s="644"/>
      <c r="I271" s="644"/>
      <c r="J271" s="644"/>
      <c r="K271" s="644"/>
      <c r="L271" s="644"/>
      <c r="M271" s="644"/>
      <c r="N271" s="644"/>
      <c r="O271" s="644"/>
      <c r="P271" s="644"/>
    </row>
    <row r="272" spans="4:16" s="364" customFormat="1">
      <c r="D272" s="644"/>
      <c r="E272" s="644"/>
      <c r="F272" s="644"/>
      <c r="G272" s="644"/>
      <c r="H272" s="644"/>
      <c r="I272" s="644"/>
      <c r="J272" s="644"/>
      <c r="K272" s="644"/>
      <c r="L272" s="644"/>
      <c r="M272" s="644"/>
      <c r="N272" s="644"/>
      <c r="O272" s="644"/>
      <c r="P272" s="644"/>
    </row>
    <row r="273" spans="4:16" s="364" customFormat="1">
      <c r="D273" s="644"/>
      <c r="E273" s="644"/>
      <c r="F273" s="644"/>
      <c r="G273" s="644"/>
      <c r="H273" s="644"/>
      <c r="I273" s="644"/>
      <c r="J273" s="644"/>
      <c r="K273" s="644"/>
      <c r="L273" s="644"/>
      <c r="M273" s="644"/>
      <c r="N273" s="644"/>
      <c r="O273" s="644"/>
      <c r="P273" s="644"/>
    </row>
    <row r="274" spans="4:16" s="364" customFormat="1">
      <c r="D274" s="644"/>
      <c r="E274" s="644"/>
      <c r="F274" s="644"/>
      <c r="G274" s="644"/>
      <c r="H274" s="644"/>
      <c r="I274" s="644"/>
      <c r="J274" s="644"/>
      <c r="K274" s="644"/>
      <c r="L274" s="644"/>
      <c r="M274" s="644"/>
      <c r="N274" s="644"/>
      <c r="O274" s="644"/>
      <c r="P274" s="644"/>
    </row>
    <row r="275" spans="4:16" s="364" customFormat="1">
      <c r="D275" s="644"/>
      <c r="E275" s="644"/>
      <c r="F275" s="644"/>
      <c r="G275" s="644"/>
      <c r="H275" s="644"/>
      <c r="I275" s="644"/>
      <c r="J275" s="644"/>
      <c r="K275" s="644"/>
      <c r="L275" s="644"/>
      <c r="M275" s="644"/>
      <c r="N275" s="644"/>
      <c r="O275" s="644"/>
      <c r="P275" s="644"/>
    </row>
    <row r="276" spans="4:16" s="364" customFormat="1">
      <c r="D276" s="644"/>
      <c r="E276" s="644"/>
      <c r="F276" s="644"/>
      <c r="G276" s="644"/>
      <c r="H276" s="644"/>
      <c r="I276" s="644"/>
      <c r="J276" s="644"/>
      <c r="K276" s="644"/>
      <c r="L276" s="644"/>
      <c r="M276" s="644"/>
      <c r="N276" s="644"/>
      <c r="O276" s="644"/>
      <c r="P276" s="644"/>
    </row>
    <row r="277" spans="4:16" s="364" customFormat="1">
      <c r="D277" s="644"/>
      <c r="E277" s="644"/>
      <c r="F277" s="644"/>
      <c r="G277" s="644"/>
      <c r="H277" s="644"/>
      <c r="I277" s="644"/>
      <c r="J277" s="644"/>
      <c r="K277" s="644"/>
      <c r="L277" s="644"/>
      <c r="M277" s="644"/>
      <c r="N277" s="644"/>
      <c r="O277" s="644"/>
      <c r="P277" s="644"/>
    </row>
    <row r="278" spans="4:16" s="364" customFormat="1">
      <c r="D278" s="644"/>
      <c r="E278" s="644"/>
      <c r="F278" s="644"/>
      <c r="G278" s="644"/>
      <c r="H278" s="644"/>
      <c r="I278" s="644"/>
      <c r="J278" s="644"/>
      <c r="K278" s="644"/>
      <c r="L278" s="644"/>
      <c r="M278" s="644"/>
      <c r="N278" s="644"/>
      <c r="O278" s="644"/>
      <c r="P278" s="644"/>
    </row>
    <row r="279" spans="4:16" s="364" customFormat="1">
      <c r="D279" s="644"/>
      <c r="E279" s="644"/>
      <c r="F279" s="644"/>
      <c r="G279" s="644"/>
      <c r="H279" s="644"/>
      <c r="I279" s="644"/>
      <c r="J279" s="644"/>
      <c r="K279" s="644"/>
      <c r="L279" s="644"/>
      <c r="M279" s="644"/>
      <c r="N279" s="644"/>
      <c r="O279" s="644"/>
      <c r="P279" s="644"/>
    </row>
    <row r="280" spans="4:16" s="364" customFormat="1">
      <c r="D280" s="644"/>
      <c r="E280" s="644"/>
      <c r="F280" s="644"/>
      <c r="G280" s="644"/>
      <c r="H280" s="644"/>
      <c r="I280" s="644"/>
      <c r="J280" s="644"/>
      <c r="K280" s="644"/>
      <c r="L280" s="644"/>
      <c r="M280" s="644"/>
      <c r="N280" s="644"/>
      <c r="O280" s="644"/>
      <c r="P280" s="644"/>
    </row>
    <row r="281" spans="4:16" s="364" customFormat="1">
      <c r="D281" s="644"/>
      <c r="E281" s="644"/>
      <c r="F281" s="644"/>
      <c r="G281" s="644"/>
      <c r="H281" s="644"/>
      <c r="I281" s="644"/>
      <c r="J281" s="644"/>
      <c r="K281" s="644"/>
      <c r="L281" s="644"/>
      <c r="M281" s="644"/>
      <c r="N281" s="644"/>
      <c r="O281" s="644"/>
      <c r="P281" s="644"/>
    </row>
    <row r="282" spans="4:16" s="364" customFormat="1">
      <c r="D282" s="644"/>
      <c r="E282" s="644"/>
      <c r="F282" s="644"/>
      <c r="G282" s="644"/>
      <c r="H282" s="644"/>
      <c r="I282" s="644"/>
      <c r="J282" s="644"/>
      <c r="K282" s="644"/>
      <c r="L282" s="644"/>
      <c r="M282" s="644"/>
      <c r="N282" s="644"/>
      <c r="O282" s="644"/>
      <c r="P282" s="644"/>
    </row>
    <row r="283" spans="4:16" s="364" customFormat="1">
      <c r="D283" s="644"/>
      <c r="E283" s="644"/>
      <c r="F283" s="644"/>
      <c r="G283" s="644"/>
      <c r="H283" s="644"/>
      <c r="I283" s="644"/>
      <c r="J283" s="644"/>
      <c r="K283" s="644"/>
      <c r="L283" s="644"/>
      <c r="M283" s="644"/>
      <c r="N283" s="644"/>
      <c r="O283" s="644"/>
      <c r="P283" s="644"/>
    </row>
    <row r="284" spans="4:16" s="364" customFormat="1">
      <c r="D284" s="644"/>
      <c r="E284" s="644"/>
      <c r="F284" s="644"/>
      <c r="G284" s="644"/>
      <c r="H284" s="644"/>
      <c r="I284" s="644"/>
      <c r="J284" s="644"/>
      <c r="K284" s="644"/>
      <c r="L284" s="644"/>
      <c r="M284" s="644"/>
      <c r="N284" s="644"/>
      <c r="O284" s="644"/>
      <c r="P284" s="644"/>
    </row>
    <row r="285" spans="4:16" s="364" customFormat="1">
      <c r="D285" s="644"/>
      <c r="E285" s="644"/>
      <c r="F285" s="644"/>
      <c r="G285" s="644"/>
      <c r="H285" s="644"/>
      <c r="I285" s="644"/>
      <c r="J285" s="644"/>
      <c r="K285" s="644"/>
      <c r="L285" s="644"/>
      <c r="M285" s="644"/>
      <c r="N285" s="644"/>
      <c r="O285" s="644"/>
      <c r="P285" s="644"/>
    </row>
    <row r="286" spans="4:16" s="364" customFormat="1">
      <c r="D286" s="644"/>
      <c r="E286" s="644"/>
      <c r="F286" s="644"/>
      <c r="G286" s="644"/>
      <c r="H286" s="644"/>
      <c r="I286" s="644"/>
      <c r="J286" s="644"/>
      <c r="K286" s="644"/>
      <c r="L286" s="644"/>
      <c r="M286" s="644"/>
      <c r="N286" s="644"/>
      <c r="O286" s="644"/>
      <c r="P286" s="644"/>
    </row>
    <row r="287" spans="4:16" s="364" customFormat="1">
      <c r="D287" s="644"/>
      <c r="E287" s="644"/>
      <c r="F287" s="644"/>
      <c r="G287" s="644"/>
      <c r="H287" s="644"/>
      <c r="I287" s="644"/>
      <c r="J287" s="644"/>
      <c r="K287" s="644"/>
      <c r="L287" s="644"/>
      <c r="M287" s="644"/>
      <c r="N287" s="644"/>
      <c r="O287" s="644"/>
      <c r="P287" s="644"/>
    </row>
    <row r="288" spans="4:16" s="364" customFormat="1">
      <c r="D288" s="644"/>
      <c r="E288" s="644"/>
      <c r="F288" s="644"/>
      <c r="G288" s="644"/>
      <c r="H288" s="644"/>
      <c r="I288" s="644"/>
      <c r="J288" s="644"/>
      <c r="K288" s="644"/>
      <c r="L288" s="644"/>
      <c r="M288" s="644"/>
      <c r="N288" s="644"/>
      <c r="O288" s="644"/>
      <c r="P288" s="644"/>
    </row>
    <row r="289" spans="4:16" s="364" customFormat="1">
      <c r="D289" s="644"/>
      <c r="E289" s="644"/>
      <c r="F289" s="644"/>
      <c r="G289" s="644"/>
      <c r="H289" s="644"/>
      <c r="I289" s="644"/>
      <c r="J289" s="644"/>
      <c r="K289" s="644"/>
      <c r="L289" s="644"/>
      <c r="M289" s="644"/>
      <c r="N289" s="644"/>
      <c r="O289" s="644"/>
      <c r="P289" s="644"/>
    </row>
    <row r="290" spans="4:16" s="364" customFormat="1">
      <c r="D290" s="644"/>
      <c r="E290" s="644"/>
      <c r="F290" s="644"/>
      <c r="G290" s="644"/>
      <c r="H290" s="644"/>
      <c r="I290" s="644"/>
      <c r="J290" s="644"/>
      <c r="K290" s="644"/>
      <c r="L290" s="644"/>
      <c r="M290" s="644"/>
      <c r="N290" s="644"/>
      <c r="O290" s="644"/>
      <c r="P290" s="644"/>
    </row>
    <row r="291" spans="4:16" s="364" customFormat="1">
      <c r="D291" s="644"/>
      <c r="E291" s="644"/>
      <c r="F291" s="644"/>
      <c r="G291" s="644"/>
      <c r="H291" s="644"/>
      <c r="I291" s="644"/>
      <c r="J291" s="644"/>
      <c r="K291" s="644"/>
      <c r="L291" s="644"/>
      <c r="M291" s="644"/>
      <c r="N291" s="644"/>
      <c r="O291" s="644"/>
      <c r="P291" s="644"/>
    </row>
    <row r="292" spans="4:16" s="364" customFormat="1">
      <c r="D292" s="644"/>
      <c r="E292" s="644"/>
      <c r="F292" s="644"/>
      <c r="G292" s="644"/>
      <c r="H292" s="644"/>
      <c r="I292" s="644"/>
      <c r="J292" s="644"/>
      <c r="K292" s="644"/>
      <c r="L292" s="644"/>
      <c r="M292" s="644"/>
      <c r="N292" s="644"/>
      <c r="O292" s="644"/>
      <c r="P292" s="644"/>
    </row>
    <row r="293" spans="4:16" s="364" customFormat="1">
      <c r="D293" s="644"/>
      <c r="E293" s="644"/>
      <c r="F293" s="644"/>
      <c r="G293" s="644"/>
      <c r="H293" s="644"/>
      <c r="I293" s="644"/>
      <c r="J293" s="644"/>
      <c r="K293" s="644"/>
      <c r="L293" s="644"/>
      <c r="M293" s="644"/>
      <c r="N293" s="644"/>
      <c r="O293" s="644"/>
      <c r="P293" s="644"/>
    </row>
    <row r="294" spans="4:16" s="364" customFormat="1">
      <c r="D294" s="644"/>
      <c r="E294" s="644"/>
      <c r="F294" s="644"/>
      <c r="G294" s="644"/>
      <c r="H294" s="644"/>
      <c r="I294" s="644"/>
      <c r="J294" s="644"/>
      <c r="K294" s="644"/>
      <c r="L294" s="644"/>
      <c r="M294" s="644"/>
      <c r="N294" s="644"/>
      <c r="O294" s="644"/>
      <c r="P294" s="644"/>
    </row>
    <row r="295" spans="4:16" s="364" customFormat="1">
      <c r="D295" s="644"/>
      <c r="E295" s="644"/>
      <c r="F295" s="644"/>
      <c r="G295" s="644"/>
      <c r="H295" s="644"/>
      <c r="I295" s="644"/>
      <c r="J295" s="644"/>
      <c r="K295" s="644"/>
      <c r="L295" s="644"/>
      <c r="M295" s="644"/>
      <c r="N295" s="644"/>
      <c r="O295" s="644"/>
      <c r="P295" s="644"/>
    </row>
    <row r="296" spans="4:16" s="364" customFormat="1">
      <c r="D296" s="644"/>
      <c r="E296" s="644"/>
      <c r="F296" s="644"/>
      <c r="G296" s="644"/>
      <c r="H296" s="644"/>
      <c r="I296" s="644"/>
      <c r="J296" s="644"/>
      <c r="K296" s="644"/>
      <c r="L296" s="644"/>
      <c r="M296" s="644"/>
      <c r="N296" s="644"/>
      <c r="O296" s="644"/>
      <c r="P296" s="644"/>
    </row>
    <row r="297" spans="4:16" s="364" customFormat="1">
      <c r="D297" s="644"/>
      <c r="E297" s="644"/>
      <c r="F297" s="644"/>
      <c r="G297" s="644"/>
      <c r="H297" s="644"/>
      <c r="I297" s="644"/>
      <c r="J297" s="644"/>
      <c r="K297" s="644"/>
      <c r="L297" s="644"/>
      <c r="M297" s="644"/>
      <c r="N297" s="644"/>
      <c r="O297" s="644"/>
      <c r="P297" s="644"/>
    </row>
    <row r="298" spans="4:16" s="364" customFormat="1">
      <c r="D298" s="644"/>
      <c r="E298" s="644"/>
      <c r="F298" s="644"/>
      <c r="G298" s="644"/>
      <c r="H298" s="644"/>
      <c r="I298" s="644"/>
      <c r="J298" s="644"/>
      <c r="K298" s="644"/>
      <c r="L298" s="644"/>
      <c r="M298" s="644"/>
      <c r="N298" s="644"/>
      <c r="O298" s="644"/>
      <c r="P298" s="644"/>
    </row>
    <row r="299" spans="4:16" s="364" customFormat="1">
      <c r="D299" s="644"/>
      <c r="E299" s="644"/>
      <c r="F299" s="644"/>
      <c r="G299" s="644"/>
      <c r="H299" s="644"/>
      <c r="I299" s="644"/>
      <c r="J299" s="644"/>
      <c r="K299" s="644"/>
      <c r="L299" s="644"/>
      <c r="M299" s="644"/>
      <c r="N299" s="644"/>
      <c r="O299" s="644"/>
      <c r="P299" s="644"/>
    </row>
    <row r="300" spans="4:16" s="364" customFormat="1">
      <c r="D300" s="644"/>
      <c r="E300" s="644"/>
      <c r="F300" s="644"/>
      <c r="G300" s="644"/>
      <c r="H300" s="644"/>
      <c r="I300" s="644"/>
      <c r="J300" s="644"/>
      <c r="K300" s="644"/>
      <c r="L300" s="644"/>
      <c r="M300" s="644"/>
      <c r="N300" s="644"/>
      <c r="O300" s="644"/>
      <c r="P300" s="644"/>
    </row>
    <row r="301" spans="4:16" s="364" customFormat="1">
      <c r="D301" s="644"/>
      <c r="E301" s="644"/>
      <c r="F301" s="644"/>
      <c r="G301" s="644"/>
      <c r="H301" s="644"/>
      <c r="I301" s="644"/>
      <c r="J301" s="644"/>
      <c r="K301" s="644"/>
      <c r="L301" s="644"/>
      <c r="M301" s="644"/>
      <c r="N301" s="644"/>
      <c r="O301" s="644"/>
      <c r="P301" s="644"/>
    </row>
    <row r="302" spans="4:16" s="364" customFormat="1">
      <c r="D302" s="644"/>
      <c r="E302" s="644"/>
      <c r="F302" s="644"/>
      <c r="G302" s="644"/>
      <c r="H302" s="644"/>
      <c r="I302" s="644"/>
      <c r="J302" s="644"/>
      <c r="K302" s="644"/>
      <c r="L302" s="644"/>
      <c r="M302" s="644"/>
      <c r="N302" s="644"/>
      <c r="O302" s="644"/>
      <c r="P302" s="644"/>
    </row>
    <row r="303" spans="4:16" s="364" customFormat="1">
      <c r="D303" s="644"/>
      <c r="E303" s="644"/>
      <c r="F303" s="644"/>
      <c r="G303" s="644"/>
      <c r="H303" s="644"/>
      <c r="I303" s="644"/>
      <c r="J303" s="644"/>
      <c r="K303" s="644"/>
      <c r="L303" s="644"/>
      <c r="M303" s="644"/>
      <c r="N303" s="644"/>
      <c r="O303" s="644"/>
      <c r="P303" s="644"/>
    </row>
    <row r="304" spans="4:16" s="364" customFormat="1">
      <c r="D304" s="644"/>
      <c r="E304" s="644"/>
      <c r="F304" s="644"/>
      <c r="G304" s="644"/>
      <c r="H304" s="644"/>
      <c r="I304" s="644"/>
      <c r="J304" s="644"/>
      <c r="K304" s="644"/>
      <c r="L304" s="644"/>
      <c r="M304" s="644"/>
      <c r="N304" s="644"/>
      <c r="O304" s="644"/>
      <c r="P304" s="644"/>
    </row>
    <row r="305" spans="4:16" s="364" customFormat="1">
      <c r="D305" s="644"/>
      <c r="E305" s="644"/>
      <c r="F305" s="644"/>
      <c r="G305" s="644"/>
      <c r="H305" s="644"/>
      <c r="I305" s="644"/>
      <c r="J305" s="644"/>
      <c r="K305" s="644"/>
      <c r="L305" s="644"/>
      <c r="M305" s="644"/>
      <c r="N305" s="644"/>
      <c r="O305" s="644"/>
      <c r="P305" s="644"/>
    </row>
    <row r="306" spans="4:16" s="364" customFormat="1">
      <c r="D306" s="644"/>
      <c r="E306" s="644"/>
      <c r="F306" s="644"/>
      <c r="G306" s="644"/>
      <c r="H306" s="644"/>
      <c r="I306" s="644"/>
      <c r="J306" s="644"/>
      <c r="K306" s="644"/>
      <c r="L306" s="644"/>
      <c r="M306" s="644"/>
      <c r="N306" s="644"/>
      <c r="O306" s="644"/>
      <c r="P306" s="644"/>
    </row>
    <row r="307" spans="4:16" s="364" customFormat="1">
      <c r="D307" s="644"/>
      <c r="E307" s="644"/>
      <c r="F307" s="644"/>
      <c r="G307" s="644"/>
      <c r="H307" s="644"/>
      <c r="I307" s="644"/>
      <c r="J307" s="644"/>
      <c r="K307" s="644"/>
      <c r="L307" s="644"/>
      <c r="M307" s="644"/>
      <c r="N307" s="644"/>
      <c r="O307" s="644"/>
      <c r="P307" s="644"/>
    </row>
    <row r="308" spans="4:16" s="364" customFormat="1">
      <c r="D308" s="644"/>
      <c r="E308" s="644"/>
      <c r="F308" s="644"/>
      <c r="G308" s="644"/>
      <c r="H308" s="644"/>
      <c r="I308" s="644"/>
      <c r="J308" s="644"/>
      <c r="K308" s="644"/>
      <c r="L308" s="644"/>
      <c r="M308" s="644"/>
      <c r="N308" s="644"/>
      <c r="O308" s="644"/>
      <c r="P308" s="644"/>
    </row>
    <row r="309" spans="4:16" s="364" customFormat="1">
      <c r="D309" s="644"/>
      <c r="E309" s="644"/>
      <c r="F309" s="644"/>
      <c r="G309" s="644"/>
      <c r="H309" s="644"/>
      <c r="I309" s="644"/>
      <c r="J309" s="644"/>
      <c r="K309" s="644"/>
      <c r="L309" s="644"/>
      <c r="M309" s="644"/>
      <c r="N309" s="644"/>
      <c r="O309" s="644"/>
      <c r="P309" s="644"/>
    </row>
    <row r="310" spans="4:16" s="364" customFormat="1">
      <c r="D310" s="644"/>
      <c r="E310" s="644"/>
      <c r="F310" s="644"/>
      <c r="G310" s="644"/>
      <c r="H310" s="644"/>
      <c r="I310" s="644"/>
      <c r="J310" s="644"/>
      <c r="K310" s="644"/>
      <c r="L310" s="644"/>
      <c r="M310" s="644"/>
      <c r="N310" s="644"/>
      <c r="O310" s="644"/>
      <c r="P310" s="644"/>
    </row>
    <row r="311" spans="4:16" s="364" customFormat="1">
      <c r="D311" s="644"/>
      <c r="E311" s="644"/>
      <c r="F311" s="644"/>
      <c r="G311" s="644"/>
      <c r="H311" s="644"/>
      <c r="I311" s="644"/>
      <c r="J311" s="644"/>
      <c r="K311" s="644"/>
      <c r="L311" s="644"/>
      <c r="M311" s="644"/>
      <c r="N311" s="644"/>
      <c r="O311" s="644"/>
      <c r="P311" s="644"/>
    </row>
    <row r="312" spans="4:16" s="364" customFormat="1">
      <c r="D312" s="644"/>
      <c r="E312" s="644"/>
      <c r="F312" s="644"/>
      <c r="G312" s="644"/>
      <c r="H312" s="644"/>
      <c r="I312" s="644"/>
      <c r="J312" s="644"/>
      <c r="K312" s="644"/>
      <c r="L312" s="644"/>
      <c r="M312" s="644"/>
      <c r="N312" s="644"/>
      <c r="O312" s="644"/>
      <c r="P312" s="644"/>
    </row>
    <row r="313" spans="4:16" s="364" customFormat="1">
      <c r="D313" s="644"/>
      <c r="E313" s="644"/>
      <c r="F313" s="644"/>
      <c r="G313" s="644"/>
      <c r="H313" s="644"/>
      <c r="I313" s="644"/>
      <c r="J313" s="644"/>
      <c r="K313" s="644"/>
      <c r="L313" s="644"/>
      <c r="M313" s="644"/>
      <c r="N313" s="644"/>
      <c r="O313" s="644"/>
      <c r="P313" s="644"/>
    </row>
    <row r="314" spans="4:16" s="364" customFormat="1">
      <c r="D314" s="644"/>
      <c r="E314" s="644"/>
      <c r="F314" s="644"/>
      <c r="G314" s="644"/>
      <c r="H314" s="644"/>
      <c r="I314" s="644"/>
      <c r="J314" s="644"/>
      <c r="K314" s="644"/>
      <c r="L314" s="644"/>
      <c r="M314" s="644"/>
      <c r="N314" s="644"/>
      <c r="O314" s="644"/>
      <c r="P314" s="644"/>
    </row>
    <row r="315" spans="4:16" s="364" customFormat="1">
      <c r="D315" s="644"/>
      <c r="E315" s="644"/>
      <c r="F315" s="644"/>
      <c r="G315" s="644"/>
      <c r="H315" s="644"/>
      <c r="I315" s="644"/>
      <c r="J315" s="644"/>
      <c r="K315" s="644"/>
      <c r="L315" s="644"/>
      <c r="M315" s="644"/>
      <c r="N315" s="644"/>
      <c r="O315" s="644"/>
      <c r="P315" s="644"/>
    </row>
    <row r="316" spans="4:16" s="364" customFormat="1">
      <c r="D316" s="644"/>
      <c r="E316" s="644"/>
      <c r="F316" s="644"/>
      <c r="G316" s="644"/>
      <c r="H316" s="644"/>
      <c r="I316" s="644"/>
      <c r="J316" s="644"/>
      <c r="K316" s="644"/>
      <c r="L316" s="644"/>
      <c r="M316" s="644"/>
      <c r="N316" s="644"/>
      <c r="O316" s="644"/>
      <c r="P316" s="644"/>
    </row>
    <row r="317" spans="4:16" s="364" customFormat="1">
      <c r="D317" s="644"/>
      <c r="E317" s="644"/>
      <c r="F317" s="644"/>
      <c r="G317" s="644"/>
      <c r="H317" s="644"/>
      <c r="I317" s="644"/>
      <c r="J317" s="644"/>
      <c r="K317" s="644"/>
      <c r="L317" s="644"/>
      <c r="M317" s="644"/>
      <c r="N317" s="644"/>
      <c r="O317" s="644"/>
      <c r="P317" s="644"/>
    </row>
    <row r="318" spans="4:16" s="364" customFormat="1">
      <c r="D318" s="644"/>
      <c r="E318" s="644"/>
      <c r="F318" s="644"/>
      <c r="G318" s="644"/>
      <c r="H318" s="644"/>
      <c r="I318" s="644"/>
      <c r="J318" s="644"/>
      <c r="K318" s="644"/>
      <c r="L318" s="644"/>
      <c r="M318" s="644"/>
      <c r="N318" s="644"/>
      <c r="O318" s="644"/>
      <c r="P318" s="644"/>
    </row>
    <row r="319" spans="4:16" s="364" customFormat="1">
      <c r="D319" s="644"/>
      <c r="E319" s="644"/>
      <c r="F319" s="644"/>
      <c r="G319" s="644"/>
      <c r="H319" s="644"/>
      <c r="I319" s="644"/>
      <c r="J319" s="644"/>
      <c r="K319" s="644"/>
      <c r="L319" s="644"/>
      <c r="M319" s="644"/>
      <c r="N319" s="644"/>
      <c r="O319" s="644"/>
      <c r="P319" s="644"/>
    </row>
    <row r="320" spans="4:16" s="364" customFormat="1">
      <c r="D320" s="644"/>
      <c r="E320" s="644"/>
      <c r="F320" s="644"/>
      <c r="G320" s="644"/>
      <c r="H320" s="644"/>
      <c r="I320" s="644"/>
      <c r="J320" s="644"/>
      <c r="K320" s="644"/>
      <c r="L320" s="644"/>
      <c r="M320" s="644"/>
      <c r="N320" s="644"/>
      <c r="O320" s="644"/>
      <c r="P320" s="644"/>
    </row>
    <row r="321" spans="4:16" s="364" customFormat="1">
      <c r="D321" s="644"/>
      <c r="E321" s="644"/>
      <c r="F321" s="644"/>
      <c r="G321" s="644"/>
      <c r="H321" s="644"/>
      <c r="I321" s="644"/>
      <c r="J321" s="644"/>
      <c r="K321" s="644"/>
      <c r="L321" s="644"/>
      <c r="M321" s="644"/>
      <c r="N321" s="644"/>
      <c r="O321" s="644"/>
      <c r="P321" s="644"/>
    </row>
    <row r="322" spans="4:16" s="364" customFormat="1">
      <c r="D322" s="644"/>
      <c r="E322" s="644"/>
      <c r="F322" s="644"/>
      <c r="G322" s="644"/>
      <c r="H322" s="644"/>
      <c r="I322" s="644"/>
      <c r="J322" s="644"/>
      <c r="K322" s="644"/>
      <c r="L322" s="644"/>
      <c r="M322" s="644"/>
      <c r="N322" s="644"/>
      <c r="O322" s="644"/>
      <c r="P322" s="644"/>
    </row>
    <row r="323" spans="4:16" s="364" customFormat="1">
      <c r="D323" s="644"/>
      <c r="E323" s="644"/>
      <c r="F323" s="644"/>
      <c r="G323" s="644"/>
      <c r="H323" s="644"/>
      <c r="I323" s="644"/>
      <c r="J323" s="644"/>
      <c r="K323" s="644"/>
      <c r="L323" s="644"/>
      <c r="M323" s="644"/>
      <c r="N323" s="644"/>
      <c r="O323" s="644"/>
      <c r="P323" s="644"/>
    </row>
    <row r="324" spans="4:16" s="364" customFormat="1">
      <c r="D324" s="644"/>
      <c r="E324" s="644"/>
      <c r="F324" s="644"/>
      <c r="G324" s="644"/>
      <c r="H324" s="644"/>
      <c r="I324" s="644"/>
      <c r="J324" s="644"/>
      <c r="K324" s="644"/>
      <c r="L324" s="644"/>
      <c r="M324" s="644"/>
      <c r="N324" s="644"/>
      <c r="O324" s="644"/>
      <c r="P324" s="644"/>
    </row>
    <row r="325" spans="4:16" s="364" customFormat="1">
      <c r="D325" s="644"/>
      <c r="E325" s="644"/>
      <c r="F325" s="644"/>
      <c r="G325" s="644"/>
      <c r="H325" s="644"/>
      <c r="I325" s="644"/>
      <c r="J325" s="644"/>
      <c r="K325" s="644"/>
      <c r="L325" s="644"/>
      <c r="M325" s="644"/>
      <c r="N325" s="644"/>
      <c r="O325" s="644"/>
      <c r="P325" s="644"/>
    </row>
    <row r="326" spans="4:16" s="364" customFormat="1">
      <c r="D326" s="644"/>
      <c r="E326" s="644"/>
      <c r="F326" s="644"/>
      <c r="G326" s="644"/>
      <c r="H326" s="644"/>
      <c r="I326" s="644"/>
      <c r="J326" s="644"/>
      <c r="K326" s="644"/>
      <c r="L326" s="644"/>
      <c r="M326" s="644"/>
      <c r="N326" s="644"/>
      <c r="O326" s="644"/>
      <c r="P326" s="644"/>
    </row>
    <row r="327" spans="4:16" s="364" customFormat="1">
      <c r="D327" s="644"/>
      <c r="E327" s="644"/>
      <c r="F327" s="644"/>
      <c r="G327" s="644"/>
      <c r="H327" s="644"/>
      <c r="I327" s="644"/>
      <c r="J327" s="644"/>
      <c r="K327" s="644"/>
      <c r="L327" s="644"/>
      <c r="M327" s="644"/>
      <c r="N327" s="644"/>
      <c r="O327" s="644"/>
      <c r="P327" s="644"/>
    </row>
    <row r="328" spans="4:16" s="364" customFormat="1">
      <c r="D328" s="644"/>
      <c r="E328" s="644"/>
      <c r="F328" s="644"/>
      <c r="G328" s="644"/>
      <c r="H328" s="644"/>
      <c r="I328" s="644"/>
      <c r="J328" s="644"/>
      <c r="K328" s="644"/>
      <c r="L328" s="644"/>
      <c r="M328" s="644"/>
      <c r="N328" s="644"/>
      <c r="O328" s="644"/>
      <c r="P328" s="644"/>
    </row>
    <row r="329" spans="4:16" s="364" customFormat="1">
      <c r="D329" s="644"/>
      <c r="E329" s="644"/>
      <c r="F329" s="644"/>
      <c r="G329" s="644"/>
      <c r="H329" s="644"/>
      <c r="I329" s="644"/>
      <c r="J329" s="644"/>
      <c r="K329" s="644"/>
      <c r="L329" s="644"/>
      <c r="M329" s="644"/>
      <c r="N329" s="644"/>
      <c r="O329" s="644"/>
      <c r="P329" s="644"/>
    </row>
    <row r="330" spans="4:16" s="364" customFormat="1">
      <c r="D330" s="644"/>
      <c r="E330" s="644"/>
      <c r="F330" s="644"/>
      <c r="G330" s="644"/>
      <c r="H330" s="644"/>
      <c r="I330" s="644"/>
      <c r="J330" s="644"/>
      <c r="K330" s="644"/>
      <c r="L330" s="644"/>
      <c r="M330" s="644"/>
      <c r="N330" s="644"/>
      <c r="O330" s="644"/>
      <c r="P330" s="644"/>
    </row>
    <row r="331" spans="4:16" s="364" customFormat="1">
      <c r="D331" s="644"/>
      <c r="E331" s="644"/>
      <c r="F331" s="644"/>
      <c r="G331" s="644"/>
      <c r="H331" s="644"/>
      <c r="I331" s="644"/>
      <c r="J331" s="644"/>
      <c r="K331" s="644"/>
      <c r="L331" s="644"/>
      <c r="M331" s="644"/>
      <c r="N331" s="644"/>
      <c r="O331" s="644"/>
      <c r="P331" s="644"/>
    </row>
    <row r="332" spans="4:16" s="364" customFormat="1">
      <c r="D332" s="644"/>
      <c r="E332" s="644"/>
      <c r="F332" s="644"/>
      <c r="G332" s="644"/>
      <c r="H332" s="644"/>
      <c r="I332" s="644"/>
      <c r="J332" s="644"/>
      <c r="K332" s="644"/>
      <c r="L332" s="644"/>
      <c r="M332" s="644"/>
      <c r="N332" s="644"/>
      <c r="O332" s="644"/>
      <c r="P332" s="644"/>
    </row>
    <row r="333" spans="4:16" s="364" customFormat="1">
      <c r="D333" s="644"/>
      <c r="E333" s="644"/>
      <c r="F333" s="644"/>
      <c r="G333" s="644"/>
      <c r="H333" s="644"/>
      <c r="I333" s="644"/>
      <c r="J333" s="644"/>
      <c r="K333" s="644"/>
      <c r="L333" s="644"/>
      <c r="M333" s="644"/>
      <c r="N333" s="644"/>
      <c r="O333" s="644"/>
      <c r="P333" s="644"/>
    </row>
    <row r="334" spans="4:16" s="364" customFormat="1">
      <c r="D334" s="644"/>
      <c r="E334" s="644"/>
      <c r="F334" s="644"/>
      <c r="G334" s="644"/>
      <c r="H334" s="644"/>
      <c r="I334" s="644"/>
      <c r="J334" s="644"/>
      <c r="K334" s="644"/>
      <c r="L334" s="644"/>
      <c r="M334" s="644"/>
      <c r="N334" s="644"/>
      <c r="O334" s="644"/>
      <c r="P334" s="644"/>
    </row>
    <row r="335" spans="4:16" s="364" customFormat="1">
      <c r="D335" s="644"/>
      <c r="E335" s="644"/>
      <c r="F335" s="644"/>
      <c r="G335" s="644"/>
      <c r="H335" s="644"/>
      <c r="I335" s="644"/>
      <c r="J335" s="644"/>
      <c r="K335" s="644"/>
      <c r="L335" s="644"/>
      <c r="M335" s="644"/>
      <c r="N335" s="644"/>
      <c r="O335" s="644"/>
      <c r="P335" s="644"/>
    </row>
    <row r="336" spans="4:16" s="364" customFormat="1">
      <c r="D336" s="644"/>
      <c r="E336" s="644"/>
      <c r="F336" s="644"/>
      <c r="G336" s="644"/>
      <c r="H336" s="644"/>
      <c r="I336" s="644"/>
      <c r="J336" s="644"/>
      <c r="K336" s="644"/>
      <c r="L336" s="644"/>
      <c r="M336" s="644"/>
      <c r="N336" s="644"/>
      <c r="O336" s="644"/>
      <c r="P336" s="644"/>
    </row>
    <row r="337" spans="4:16" s="364" customFormat="1">
      <c r="D337" s="644"/>
      <c r="E337" s="644"/>
      <c r="F337" s="644"/>
      <c r="G337" s="644"/>
      <c r="H337" s="644"/>
      <c r="I337" s="644"/>
      <c r="J337" s="644"/>
      <c r="K337" s="644"/>
      <c r="L337" s="644"/>
      <c r="M337" s="644"/>
      <c r="N337" s="644"/>
      <c r="O337" s="644"/>
      <c r="P337" s="644"/>
    </row>
    <row r="338" spans="4:16" s="364" customFormat="1">
      <c r="D338" s="644"/>
      <c r="E338" s="644"/>
      <c r="F338" s="644"/>
      <c r="G338" s="644"/>
      <c r="H338" s="644"/>
      <c r="I338" s="644"/>
      <c r="J338" s="644"/>
      <c r="K338" s="644"/>
      <c r="L338" s="644"/>
      <c r="M338" s="644"/>
      <c r="N338" s="644"/>
      <c r="O338" s="644"/>
      <c r="P338" s="644"/>
    </row>
    <row r="339" spans="4:16" s="364" customFormat="1">
      <c r="D339" s="644"/>
      <c r="E339" s="644"/>
      <c r="F339" s="644"/>
      <c r="G339" s="644"/>
      <c r="H339" s="644"/>
      <c r="I339" s="644"/>
      <c r="J339" s="644"/>
      <c r="K339" s="644"/>
      <c r="L339" s="644"/>
      <c r="M339" s="644"/>
      <c r="N339" s="644"/>
      <c r="O339" s="644"/>
      <c r="P339" s="644"/>
    </row>
    <row r="340" spans="4:16" s="364" customFormat="1">
      <c r="D340" s="644"/>
      <c r="E340" s="644"/>
      <c r="F340" s="644"/>
      <c r="G340" s="644"/>
      <c r="H340" s="644"/>
      <c r="I340" s="644"/>
      <c r="J340" s="644"/>
      <c r="K340" s="644"/>
      <c r="L340" s="644"/>
      <c r="M340" s="644"/>
      <c r="N340" s="644"/>
      <c r="O340" s="644"/>
      <c r="P340" s="644"/>
    </row>
    <row r="341" spans="4:16" s="364" customFormat="1">
      <c r="D341" s="644"/>
      <c r="E341" s="644"/>
      <c r="F341" s="644"/>
      <c r="G341" s="644"/>
      <c r="H341" s="644"/>
      <c r="I341" s="644"/>
      <c r="J341" s="644"/>
      <c r="K341" s="644"/>
      <c r="L341" s="644"/>
      <c r="M341" s="644"/>
      <c r="N341" s="644"/>
      <c r="O341" s="644"/>
      <c r="P341" s="644"/>
    </row>
    <row r="342" spans="4:16" s="364" customFormat="1">
      <c r="D342" s="644"/>
      <c r="E342" s="644"/>
      <c r="F342" s="644"/>
      <c r="G342" s="644"/>
      <c r="H342" s="644"/>
      <c r="I342" s="644"/>
      <c r="J342" s="644"/>
      <c r="K342" s="644"/>
      <c r="L342" s="644"/>
      <c r="M342" s="644"/>
      <c r="N342" s="644"/>
      <c r="O342" s="644"/>
      <c r="P342" s="644"/>
    </row>
    <row r="343" spans="4:16" s="364" customFormat="1">
      <c r="D343" s="644"/>
      <c r="E343" s="644"/>
      <c r="F343" s="644"/>
      <c r="G343" s="644"/>
      <c r="H343" s="644"/>
      <c r="I343" s="644"/>
      <c r="J343" s="644"/>
      <c r="K343" s="644"/>
      <c r="L343" s="644"/>
      <c r="M343" s="644"/>
      <c r="N343" s="644"/>
      <c r="O343" s="644"/>
      <c r="P343" s="644"/>
    </row>
    <row r="344" spans="4:16" s="364" customFormat="1">
      <c r="D344" s="644"/>
      <c r="E344" s="644"/>
      <c r="F344" s="644"/>
      <c r="G344" s="644"/>
      <c r="H344" s="644"/>
      <c r="I344" s="644"/>
      <c r="J344" s="644"/>
      <c r="K344" s="644"/>
      <c r="L344" s="644"/>
      <c r="M344" s="644"/>
      <c r="N344" s="644"/>
      <c r="O344" s="644"/>
      <c r="P344" s="644"/>
    </row>
    <row r="345" spans="4:16" s="364" customFormat="1">
      <c r="D345" s="644"/>
      <c r="E345" s="644"/>
      <c r="F345" s="644"/>
      <c r="G345" s="644"/>
      <c r="H345" s="644"/>
      <c r="I345" s="644"/>
      <c r="J345" s="644"/>
      <c r="K345" s="644"/>
      <c r="L345" s="644"/>
      <c r="M345" s="644"/>
      <c r="N345" s="644"/>
      <c r="O345" s="644"/>
      <c r="P345" s="644"/>
    </row>
    <row r="346" spans="4:16" s="364" customFormat="1">
      <c r="D346" s="644"/>
      <c r="E346" s="644"/>
      <c r="F346" s="644"/>
      <c r="G346" s="644"/>
      <c r="H346" s="644"/>
      <c r="I346" s="644"/>
      <c r="J346" s="644"/>
      <c r="K346" s="644"/>
      <c r="L346" s="644"/>
      <c r="M346" s="644"/>
      <c r="N346" s="644"/>
      <c r="O346" s="644"/>
      <c r="P346" s="644"/>
    </row>
    <row r="347" spans="4:16" s="364" customFormat="1">
      <c r="D347" s="644"/>
      <c r="E347" s="644"/>
      <c r="F347" s="644"/>
      <c r="G347" s="644"/>
      <c r="H347" s="644"/>
      <c r="I347" s="644"/>
      <c r="J347" s="644"/>
      <c r="K347" s="644"/>
      <c r="L347" s="644"/>
      <c r="M347" s="644"/>
      <c r="N347" s="644"/>
      <c r="O347" s="644"/>
      <c r="P347" s="644"/>
    </row>
    <row r="348" spans="4:16" s="364" customFormat="1">
      <c r="D348" s="644"/>
      <c r="E348" s="644"/>
      <c r="F348" s="644"/>
      <c r="G348" s="644"/>
      <c r="H348" s="644"/>
      <c r="I348" s="644"/>
      <c r="J348" s="644"/>
      <c r="K348" s="644"/>
      <c r="L348" s="644"/>
      <c r="M348" s="644"/>
      <c r="N348" s="644"/>
      <c r="O348" s="644"/>
      <c r="P348" s="644"/>
    </row>
    <row r="349" spans="4:16" s="364" customFormat="1">
      <c r="D349" s="644"/>
      <c r="E349" s="644"/>
      <c r="F349" s="644"/>
      <c r="G349" s="644"/>
      <c r="H349" s="644"/>
      <c r="I349" s="644"/>
      <c r="J349" s="644"/>
      <c r="K349" s="644"/>
      <c r="L349" s="644"/>
      <c r="M349" s="644"/>
      <c r="N349" s="644"/>
      <c r="O349" s="644"/>
      <c r="P349" s="644"/>
    </row>
    <row r="350" spans="4:16" s="364" customFormat="1">
      <c r="D350" s="644"/>
      <c r="E350" s="644"/>
      <c r="F350" s="644"/>
      <c r="G350" s="644"/>
      <c r="H350" s="644"/>
      <c r="I350" s="644"/>
      <c r="J350" s="644"/>
      <c r="K350" s="644"/>
      <c r="L350" s="644"/>
      <c r="M350" s="644"/>
      <c r="N350" s="644"/>
      <c r="O350" s="644"/>
      <c r="P350" s="644"/>
    </row>
    <row r="351" spans="4:16" s="364" customFormat="1">
      <c r="D351" s="644"/>
      <c r="E351" s="644"/>
      <c r="F351" s="644"/>
      <c r="G351" s="644"/>
      <c r="H351" s="644"/>
      <c r="I351" s="644"/>
      <c r="J351" s="644"/>
      <c r="K351" s="644"/>
      <c r="L351" s="644"/>
      <c r="M351" s="644"/>
      <c r="N351" s="644"/>
      <c r="O351" s="644"/>
      <c r="P351" s="644"/>
    </row>
    <row r="352" spans="4:16" s="364" customFormat="1">
      <c r="D352" s="644"/>
      <c r="E352" s="644"/>
      <c r="F352" s="644"/>
      <c r="G352" s="644"/>
      <c r="H352" s="644"/>
      <c r="I352" s="644"/>
      <c r="J352" s="644"/>
      <c r="K352" s="644"/>
      <c r="L352" s="644"/>
      <c r="M352" s="644"/>
      <c r="N352" s="644"/>
      <c r="O352" s="644"/>
      <c r="P352" s="644"/>
    </row>
    <row r="353" spans="4:16" s="364" customFormat="1">
      <c r="D353" s="644"/>
      <c r="E353" s="644"/>
      <c r="F353" s="644"/>
      <c r="G353" s="644"/>
      <c r="H353" s="644"/>
      <c r="I353" s="644"/>
      <c r="J353" s="644"/>
      <c r="K353" s="644"/>
      <c r="L353" s="644"/>
      <c r="M353" s="644"/>
      <c r="N353" s="644"/>
      <c r="O353" s="644"/>
      <c r="P353" s="644"/>
    </row>
    <row r="354" spans="4:16" s="364" customFormat="1">
      <c r="D354" s="644"/>
      <c r="E354" s="644"/>
      <c r="F354" s="644"/>
      <c r="G354" s="644"/>
      <c r="H354" s="644"/>
      <c r="I354" s="644"/>
      <c r="J354" s="644"/>
      <c r="K354" s="644"/>
      <c r="L354" s="644"/>
      <c r="M354" s="644"/>
      <c r="N354" s="644"/>
      <c r="O354" s="644"/>
      <c r="P354" s="644"/>
    </row>
    <row r="355" spans="4:16" s="364" customFormat="1">
      <c r="D355" s="644"/>
      <c r="E355" s="644"/>
      <c r="F355" s="644"/>
      <c r="G355" s="644"/>
      <c r="H355" s="644"/>
      <c r="I355" s="644"/>
      <c r="J355" s="644"/>
      <c r="K355" s="644"/>
      <c r="L355" s="644"/>
      <c r="M355" s="644"/>
      <c r="N355" s="644"/>
      <c r="O355" s="644"/>
      <c r="P355" s="644"/>
    </row>
    <row r="356" spans="4:16" s="364" customFormat="1">
      <c r="D356" s="644"/>
      <c r="E356" s="644"/>
      <c r="F356" s="644"/>
      <c r="G356" s="644"/>
      <c r="H356" s="644"/>
      <c r="I356" s="644"/>
      <c r="J356" s="644"/>
      <c r="K356" s="644"/>
      <c r="L356" s="644"/>
      <c r="M356" s="644"/>
      <c r="N356" s="644"/>
      <c r="O356" s="644"/>
      <c r="P356" s="644"/>
    </row>
    <row r="357" spans="4:16" s="364" customFormat="1">
      <c r="D357" s="644"/>
      <c r="E357" s="644"/>
      <c r="F357" s="644"/>
      <c r="G357" s="644"/>
      <c r="H357" s="644"/>
      <c r="I357" s="644"/>
      <c r="J357" s="644"/>
      <c r="K357" s="644"/>
      <c r="L357" s="644"/>
      <c r="M357" s="644"/>
      <c r="N357" s="644"/>
      <c r="O357" s="644"/>
      <c r="P357" s="644"/>
    </row>
    <row r="358" spans="4:16" s="364" customFormat="1">
      <c r="D358" s="644"/>
      <c r="E358" s="644"/>
      <c r="F358" s="644"/>
      <c r="G358" s="644"/>
      <c r="H358" s="644"/>
      <c r="I358" s="644"/>
      <c r="J358" s="644"/>
      <c r="K358" s="644"/>
      <c r="L358" s="644"/>
      <c r="M358" s="644"/>
      <c r="N358" s="644"/>
      <c r="O358" s="644"/>
      <c r="P358" s="644"/>
    </row>
    <row r="359" spans="4:16" s="364" customFormat="1">
      <c r="D359" s="644"/>
      <c r="E359" s="644"/>
      <c r="F359" s="644"/>
      <c r="G359" s="644"/>
      <c r="H359" s="644"/>
      <c r="I359" s="644"/>
      <c r="J359" s="644"/>
      <c r="K359" s="644"/>
      <c r="L359" s="644"/>
      <c r="M359" s="644"/>
      <c r="N359" s="644"/>
      <c r="O359" s="644"/>
      <c r="P359" s="644"/>
    </row>
    <row r="360" spans="4:16" s="364" customFormat="1">
      <c r="D360" s="644"/>
      <c r="E360" s="644"/>
      <c r="F360" s="644"/>
      <c r="G360" s="644"/>
      <c r="H360" s="644"/>
      <c r="I360" s="644"/>
      <c r="J360" s="644"/>
      <c r="K360" s="644"/>
      <c r="L360" s="644"/>
      <c r="M360" s="644"/>
      <c r="N360" s="644"/>
      <c r="O360" s="644"/>
      <c r="P360" s="644"/>
    </row>
    <row r="361" spans="4:16" s="364" customFormat="1">
      <c r="D361" s="644"/>
      <c r="E361" s="644"/>
      <c r="F361" s="644"/>
      <c r="G361" s="644"/>
      <c r="H361" s="644"/>
      <c r="I361" s="644"/>
      <c r="J361" s="644"/>
      <c r="K361" s="644"/>
      <c r="L361" s="644"/>
      <c r="M361" s="644"/>
      <c r="N361" s="644"/>
      <c r="O361" s="644"/>
      <c r="P361" s="644"/>
    </row>
    <row r="362" spans="4:16" s="364" customFormat="1">
      <c r="D362" s="644"/>
      <c r="E362" s="644"/>
      <c r="F362" s="644"/>
      <c r="G362" s="644"/>
      <c r="H362" s="644"/>
      <c r="I362" s="644"/>
      <c r="J362" s="644"/>
      <c r="K362" s="644"/>
      <c r="L362" s="644"/>
      <c r="M362" s="644"/>
      <c r="N362" s="644"/>
      <c r="O362" s="644"/>
      <c r="P362" s="644"/>
    </row>
    <row r="363" spans="4:16" s="364" customFormat="1">
      <c r="D363" s="644"/>
      <c r="E363" s="644"/>
      <c r="F363" s="644"/>
      <c r="G363" s="644"/>
      <c r="H363" s="644"/>
      <c r="I363" s="644"/>
      <c r="J363" s="644"/>
      <c r="K363" s="644"/>
      <c r="L363" s="644"/>
      <c r="M363" s="644"/>
      <c r="N363" s="644"/>
      <c r="O363" s="644"/>
      <c r="P363" s="644"/>
    </row>
    <row r="364" spans="4:16" s="364" customFormat="1">
      <c r="D364" s="644"/>
      <c r="E364" s="644"/>
      <c r="F364" s="644"/>
      <c r="G364" s="644"/>
      <c r="H364" s="644"/>
      <c r="I364" s="644"/>
      <c r="J364" s="644"/>
      <c r="K364" s="644"/>
      <c r="L364" s="644"/>
      <c r="M364" s="644"/>
      <c r="N364" s="644"/>
      <c r="O364" s="644"/>
      <c r="P364" s="644"/>
    </row>
    <row r="365" spans="4:16" s="364" customFormat="1">
      <c r="D365" s="644"/>
      <c r="E365" s="644"/>
      <c r="F365" s="644"/>
      <c r="G365" s="644"/>
      <c r="H365" s="644"/>
      <c r="I365" s="644"/>
      <c r="J365" s="644"/>
      <c r="K365" s="644"/>
      <c r="L365" s="644"/>
      <c r="M365" s="644"/>
      <c r="N365" s="644"/>
      <c r="O365" s="644"/>
      <c r="P365" s="644"/>
    </row>
    <row r="366" spans="4:16" s="364" customFormat="1">
      <c r="D366" s="644"/>
      <c r="E366" s="644"/>
      <c r="F366" s="644"/>
      <c r="G366" s="644"/>
      <c r="H366" s="644"/>
      <c r="I366" s="644"/>
      <c r="J366" s="644"/>
      <c r="K366" s="644"/>
      <c r="L366" s="644"/>
      <c r="M366" s="644"/>
      <c r="N366" s="644"/>
      <c r="O366" s="644"/>
      <c r="P366" s="644"/>
    </row>
    <row r="367" spans="4:16" s="364" customFormat="1">
      <c r="D367" s="644"/>
      <c r="E367" s="644"/>
      <c r="F367" s="644"/>
      <c r="G367" s="644"/>
      <c r="H367" s="644"/>
      <c r="I367" s="644"/>
      <c r="J367" s="644"/>
      <c r="K367" s="644"/>
      <c r="L367" s="644"/>
      <c r="M367" s="644"/>
      <c r="N367" s="644"/>
      <c r="O367" s="644"/>
      <c r="P367" s="644"/>
    </row>
    <row r="368" spans="4:16" s="364" customFormat="1">
      <c r="D368" s="644"/>
      <c r="E368" s="644"/>
      <c r="F368" s="644"/>
      <c r="G368" s="644"/>
      <c r="H368" s="644"/>
      <c r="I368" s="644"/>
      <c r="J368" s="644"/>
      <c r="K368" s="644"/>
      <c r="L368" s="644"/>
      <c r="M368" s="644"/>
      <c r="N368" s="644"/>
      <c r="O368" s="644"/>
      <c r="P368" s="644"/>
    </row>
    <row r="369" spans="4:16" s="364" customFormat="1">
      <c r="D369" s="644"/>
      <c r="E369" s="644"/>
      <c r="F369" s="644"/>
      <c r="G369" s="644"/>
      <c r="H369" s="644"/>
      <c r="I369" s="644"/>
      <c r="J369" s="644"/>
      <c r="K369" s="644"/>
      <c r="L369" s="644"/>
      <c r="M369" s="644"/>
      <c r="N369" s="644"/>
      <c r="O369" s="644"/>
      <c r="P369" s="644"/>
    </row>
    <row r="370" spans="4:16" s="364" customFormat="1">
      <c r="D370" s="644"/>
      <c r="E370" s="644"/>
      <c r="F370" s="644"/>
      <c r="G370" s="644"/>
      <c r="H370" s="644"/>
      <c r="I370" s="644"/>
      <c r="J370" s="644"/>
      <c r="K370" s="644"/>
      <c r="L370" s="644"/>
      <c r="M370" s="644"/>
      <c r="N370" s="644"/>
      <c r="O370" s="644"/>
      <c r="P370" s="644"/>
    </row>
    <row r="371" spans="4:16" s="364" customFormat="1">
      <c r="D371" s="644"/>
      <c r="E371" s="644"/>
      <c r="F371" s="644"/>
      <c r="G371" s="644"/>
      <c r="H371" s="644"/>
      <c r="I371" s="644"/>
      <c r="J371" s="644"/>
      <c r="K371" s="644"/>
      <c r="L371" s="644"/>
      <c r="M371" s="644"/>
      <c r="N371" s="644"/>
      <c r="O371" s="644"/>
      <c r="P371" s="644"/>
    </row>
    <row r="372" spans="4:16" s="364" customFormat="1">
      <c r="D372" s="644"/>
      <c r="E372" s="644"/>
      <c r="F372" s="644"/>
      <c r="G372" s="644"/>
      <c r="H372" s="644"/>
      <c r="I372" s="644"/>
      <c r="J372" s="644"/>
      <c r="K372" s="644"/>
      <c r="L372" s="644"/>
      <c r="M372" s="644"/>
      <c r="N372" s="644"/>
      <c r="O372" s="644"/>
      <c r="P372" s="644"/>
    </row>
    <row r="373" spans="4:16" s="364" customFormat="1">
      <c r="D373" s="644"/>
      <c r="E373" s="644"/>
      <c r="F373" s="644"/>
      <c r="G373" s="644"/>
      <c r="H373" s="644"/>
      <c r="I373" s="644"/>
      <c r="J373" s="644"/>
      <c r="K373" s="644"/>
      <c r="L373" s="644"/>
      <c r="M373" s="644"/>
      <c r="N373" s="644"/>
      <c r="O373" s="644"/>
      <c r="P373" s="644"/>
    </row>
    <row r="374" spans="4:16" s="364" customFormat="1">
      <c r="D374" s="644"/>
      <c r="E374" s="644"/>
      <c r="F374" s="644"/>
      <c r="G374" s="644"/>
      <c r="H374" s="644"/>
      <c r="I374" s="644"/>
      <c r="J374" s="644"/>
      <c r="K374" s="644"/>
      <c r="L374" s="644"/>
      <c r="M374" s="644"/>
      <c r="N374" s="644"/>
      <c r="O374" s="644"/>
      <c r="P374" s="644"/>
    </row>
    <row r="375" spans="4:16" s="364" customFormat="1">
      <c r="D375" s="644"/>
      <c r="E375" s="644"/>
      <c r="F375" s="644"/>
      <c r="G375" s="644"/>
      <c r="H375" s="644"/>
      <c r="I375" s="644"/>
      <c r="J375" s="644"/>
      <c r="K375" s="644"/>
      <c r="L375" s="644"/>
      <c r="M375" s="644"/>
      <c r="N375" s="644"/>
      <c r="O375" s="644"/>
      <c r="P375" s="644"/>
    </row>
    <row r="376" spans="4:16" s="364" customFormat="1">
      <c r="D376" s="644"/>
      <c r="E376" s="644"/>
      <c r="F376" s="644"/>
      <c r="G376" s="644"/>
      <c r="H376" s="644"/>
      <c r="I376" s="644"/>
      <c r="J376" s="644"/>
      <c r="K376" s="644"/>
      <c r="L376" s="644"/>
      <c r="M376" s="644"/>
      <c r="N376" s="644"/>
      <c r="O376" s="644"/>
      <c r="P376" s="644"/>
    </row>
    <row r="377" spans="4:16" s="364" customFormat="1">
      <c r="D377" s="644"/>
      <c r="E377" s="644"/>
      <c r="F377" s="644"/>
      <c r="G377" s="644"/>
      <c r="H377" s="644"/>
      <c r="I377" s="644"/>
      <c r="J377" s="644"/>
      <c r="K377" s="644"/>
      <c r="L377" s="644"/>
      <c r="M377" s="644"/>
      <c r="N377" s="644"/>
      <c r="O377" s="644"/>
      <c r="P377" s="644"/>
    </row>
    <row r="378" spans="4:16" s="364" customFormat="1">
      <c r="D378" s="644"/>
      <c r="E378" s="644"/>
      <c r="F378" s="644"/>
      <c r="G378" s="644"/>
      <c r="H378" s="644"/>
      <c r="I378" s="644"/>
      <c r="J378" s="644"/>
      <c r="K378" s="644"/>
      <c r="L378" s="644"/>
      <c r="M378" s="644"/>
      <c r="N378" s="644"/>
      <c r="O378" s="644"/>
      <c r="P378" s="644"/>
    </row>
    <row r="379" spans="4:16" s="364" customFormat="1">
      <c r="D379" s="644"/>
      <c r="E379" s="644"/>
      <c r="F379" s="644"/>
      <c r="G379" s="644"/>
      <c r="H379" s="644"/>
      <c r="I379" s="644"/>
      <c r="J379" s="644"/>
      <c r="K379" s="644"/>
      <c r="L379" s="644"/>
      <c r="M379" s="644"/>
      <c r="N379" s="644"/>
      <c r="O379" s="644"/>
      <c r="P379" s="644"/>
    </row>
    <row r="380" spans="4:16" s="364" customFormat="1">
      <c r="D380" s="644"/>
      <c r="E380" s="644"/>
      <c r="F380" s="644"/>
      <c r="G380" s="644"/>
      <c r="H380" s="644"/>
      <c r="I380" s="644"/>
      <c r="J380" s="644"/>
      <c r="K380" s="644"/>
      <c r="L380" s="644"/>
      <c r="M380" s="644"/>
      <c r="N380" s="644"/>
      <c r="O380" s="644"/>
      <c r="P380" s="644"/>
    </row>
    <row r="381" spans="4:16" s="364" customFormat="1">
      <c r="D381" s="644"/>
      <c r="E381" s="644"/>
      <c r="F381" s="644"/>
      <c r="G381" s="644"/>
      <c r="H381" s="644"/>
      <c r="I381" s="644"/>
      <c r="J381" s="644"/>
      <c r="K381" s="644"/>
      <c r="L381" s="644"/>
      <c r="M381" s="644"/>
      <c r="N381" s="644"/>
      <c r="O381" s="644"/>
      <c r="P381" s="644"/>
    </row>
    <row r="382" spans="4:16" s="364" customFormat="1">
      <c r="D382" s="644"/>
      <c r="E382" s="644"/>
      <c r="F382" s="644"/>
      <c r="G382" s="644"/>
      <c r="H382" s="644"/>
      <c r="I382" s="644"/>
      <c r="J382" s="644"/>
      <c r="K382" s="644"/>
      <c r="L382" s="644"/>
      <c r="M382" s="644"/>
      <c r="N382" s="644"/>
      <c r="O382" s="644"/>
      <c r="P382" s="644"/>
    </row>
    <row r="383" spans="4:16" s="364" customFormat="1">
      <c r="D383" s="644"/>
      <c r="E383" s="644"/>
      <c r="F383" s="644"/>
      <c r="G383" s="644"/>
      <c r="H383" s="644"/>
      <c r="I383" s="644"/>
      <c r="J383" s="644"/>
      <c r="K383" s="644"/>
      <c r="L383" s="644"/>
      <c r="M383" s="644"/>
      <c r="N383" s="644"/>
      <c r="O383" s="644"/>
      <c r="P383" s="644"/>
    </row>
    <row r="384" spans="4:16" s="364" customFormat="1">
      <c r="D384" s="644"/>
      <c r="E384" s="644"/>
      <c r="F384" s="644"/>
      <c r="G384" s="644"/>
      <c r="H384" s="644"/>
      <c r="I384" s="644"/>
      <c r="J384" s="644"/>
      <c r="K384" s="644"/>
      <c r="L384" s="644"/>
      <c r="M384" s="644"/>
      <c r="N384" s="644"/>
      <c r="O384" s="644"/>
      <c r="P384" s="644"/>
    </row>
    <row r="385" spans="4:16" s="364" customFormat="1">
      <c r="D385" s="644"/>
      <c r="E385" s="644"/>
      <c r="F385" s="644"/>
      <c r="G385" s="644"/>
      <c r="H385" s="644"/>
      <c r="I385" s="644"/>
      <c r="J385" s="644"/>
      <c r="K385" s="644"/>
      <c r="L385" s="644"/>
      <c r="M385" s="644"/>
      <c r="N385" s="644"/>
      <c r="O385" s="644"/>
      <c r="P385" s="644"/>
    </row>
    <row r="386" spans="4:16" s="364" customFormat="1">
      <c r="D386" s="644"/>
      <c r="E386" s="644"/>
      <c r="F386" s="644"/>
      <c r="G386" s="644"/>
      <c r="H386" s="644"/>
      <c r="I386" s="644"/>
      <c r="J386" s="644"/>
      <c r="K386" s="644"/>
      <c r="L386" s="644"/>
      <c r="M386" s="644"/>
      <c r="N386" s="644"/>
      <c r="O386" s="644"/>
      <c r="P386" s="644"/>
    </row>
    <row r="387" spans="4:16" s="364" customFormat="1">
      <c r="D387" s="644"/>
      <c r="E387" s="644"/>
      <c r="F387" s="644"/>
      <c r="G387" s="644"/>
      <c r="H387" s="644"/>
      <c r="I387" s="644"/>
      <c r="J387" s="644"/>
      <c r="K387" s="644"/>
      <c r="L387" s="644"/>
      <c r="M387" s="644"/>
      <c r="N387" s="644"/>
      <c r="O387" s="644"/>
      <c r="P387" s="644"/>
    </row>
    <row r="388" spans="4:16" s="364" customFormat="1">
      <c r="D388" s="644"/>
      <c r="E388" s="644"/>
      <c r="F388" s="644"/>
      <c r="G388" s="644"/>
      <c r="H388" s="644"/>
      <c r="I388" s="644"/>
      <c r="J388" s="644"/>
      <c r="K388" s="644"/>
      <c r="L388" s="644"/>
      <c r="M388" s="644"/>
      <c r="N388" s="644"/>
      <c r="O388" s="644"/>
      <c r="P388" s="644"/>
    </row>
    <row r="389" spans="4:16" s="364" customFormat="1">
      <c r="D389" s="644"/>
      <c r="E389" s="644"/>
      <c r="F389" s="644"/>
      <c r="G389" s="644"/>
      <c r="H389" s="644"/>
      <c r="I389" s="644"/>
      <c r="J389" s="644"/>
      <c r="K389" s="644"/>
      <c r="L389" s="644"/>
      <c r="M389" s="644"/>
      <c r="N389" s="644"/>
      <c r="O389" s="644"/>
      <c r="P389" s="644"/>
    </row>
    <row r="390" spans="4:16" s="364" customFormat="1">
      <c r="D390" s="644"/>
      <c r="E390" s="644"/>
      <c r="F390" s="644"/>
      <c r="G390" s="644"/>
      <c r="H390" s="644"/>
      <c r="I390" s="644"/>
      <c r="J390" s="644"/>
      <c r="K390" s="644"/>
      <c r="L390" s="644"/>
      <c r="M390" s="644"/>
      <c r="N390" s="644"/>
      <c r="O390" s="644"/>
      <c r="P390" s="644"/>
    </row>
    <row r="391" spans="4:16" s="364" customFormat="1">
      <c r="D391" s="644"/>
      <c r="E391" s="644"/>
      <c r="F391" s="644"/>
      <c r="G391" s="644"/>
      <c r="H391" s="644"/>
      <c r="I391" s="644"/>
      <c r="J391" s="644"/>
      <c r="K391" s="644"/>
      <c r="L391" s="644"/>
      <c r="M391" s="644"/>
      <c r="N391" s="644"/>
      <c r="O391" s="644"/>
      <c r="P391" s="644"/>
    </row>
    <row r="392" spans="4:16" s="364" customFormat="1">
      <c r="D392" s="644"/>
      <c r="E392" s="644"/>
      <c r="F392" s="644"/>
      <c r="G392" s="644"/>
      <c r="H392" s="644"/>
      <c r="I392" s="644"/>
      <c r="J392" s="644"/>
      <c r="K392" s="644"/>
      <c r="L392" s="644"/>
      <c r="M392" s="644"/>
      <c r="N392" s="644"/>
      <c r="O392" s="644"/>
      <c r="P392" s="644"/>
    </row>
    <row r="393" spans="4:16" s="364" customFormat="1">
      <c r="D393" s="644"/>
      <c r="E393" s="644"/>
      <c r="F393" s="644"/>
      <c r="G393" s="644"/>
      <c r="H393" s="644"/>
      <c r="I393" s="644"/>
      <c r="J393" s="644"/>
      <c r="K393" s="644"/>
      <c r="L393" s="644"/>
      <c r="M393" s="644"/>
      <c r="N393" s="644"/>
      <c r="O393" s="644"/>
      <c r="P393" s="644"/>
    </row>
    <row r="394" spans="4:16" s="364" customFormat="1">
      <c r="D394" s="644"/>
      <c r="E394" s="644"/>
      <c r="F394" s="644"/>
      <c r="G394" s="644"/>
      <c r="H394" s="644"/>
      <c r="I394" s="644"/>
      <c r="J394" s="644"/>
      <c r="K394" s="644"/>
      <c r="L394" s="644"/>
      <c r="M394" s="644"/>
      <c r="N394" s="644"/>
      <c r="O394" s="644"/>
      <c r="P394" s="644"/>
    </row>
    <row r="395" spans="4:16" s="364" customFormat="1">
      <c r="D395" s="644"/>
      <c r="E395" s="644"/>
      <c r="F395" s="644"/>
      <c r="G395" s="644"/>
      <c r="H395" s="644"/>
      <c r="I395" s="644"/>
      <c r="J395" s="644"/>
      <c r="K395" s="644"/>
      <c r="L395" s="644"/>
      <c r="M395" s="644"/>
      <c r="N395" s="644"/>
      <c r="O395" s="644"/>
      <c r="P395" s="644"/>
    </row>
    <row r="396" spans="4:16" s="364" customFormat="1">
      <c r="D396" s="644"/>
      <c r="E396" s="644"/>
      <c r="F396" s="644"/>
      <c r="G396" s="644"/>
      <c r="H396" s="644"/>
      <c r="I396" s="644"/>
      <c r="J396" s="644"/>
      <c r="K396" s="644"/>
      <c r="L396" s="644"/>
      <c r="M396" s="644"/>
      <c r="N396" s="644"/>
      <c r="O396" s="644"/>
      <c r="P396" s="644"/>
    </row>
    <row r="397" spans="4:16" s="364" customFormat="1">
      <c r="D397" s="644"/>
      <c r="E397" s="644"/>
      <c r="F397" s="644"/>
      <c r="G397" s="644"/>
      <c r="H397" s="644"/>
      <c r="I397" s="644"/>
      <c r="J397" s="644"/>
      <c r="K397" s="644"/>
      <c r="L397" s="644"/>
      <c r="M397" s="644"/>
      <c r="N397" s="644"/>
      <c r="O397" s="644"/>
      <c r="P397" s="644"/>
    </row>
    <row r="398" spans="4:16" s="364" customFormat="1">
      <c r="D398" s="644"/>
      <c r="E398" s="644"/>
      <c r="F398" s="644"/>
      <c r="G398" s="644"/>
      <c r="H398" s="644"/>
      <c r="I398" s="644"/>
      <c r="J398" s="644"/>
      <c r="K398" s="644"/>
      <c r="L398" s="644"/>
      <c r="M398" s="644"/>
      <c r="N398" s="644"/>
      <c r="O398" s="644"/>
      <c r="P398" s="644"/>
    </row>
    <row r="399" spans="4:16" s="364" customFormat="1">
      <c r="D399" s="644"/>
      <c r="E399" s="644"/>
      <c r="F399" s="644"/>
      <c r="G399" s="644"/>
      <c r="H399" s="644"/>
      <c r="I399" s="644"/>
      <c r="J399" s="644"/>
      <c r="K399" s="644"/>
      <c r="L399" s="644"/>
      <c r="M399" s="644"/>
      <c r="N399" s="644"/>
      <c r="O399" s="644"/>
      <c r="P399" s="644"/>
    </row>
    <row r="400" spans="4:16" s="364" customFormat="1">
      <c r="D400" s="644"/>
      <c r="E400" s="644"/>
      <c r="F400" s="644"/>
      <c r="G400" s="644"/>
      <c r="H400" s="644"/>
      <c r="I400" s="644"/>
      <c r="J400" s="644"/>
      <c r="K400" s="644"/>
      <c r="L400" s="644"/>
      <c r="M400" s="644"/>
      <c r="N400" s="644"/>
      <c r="O400" s="644"/>
      <c r="P400" s="644"/>
    </row>
    <row r="401" spans="4:16" s="364" customFormat="1">
      <c r="D401" s="644"/>
      <c r="E401" s="644"/>
      <c r="F401" s="644"/>
      <c r="G401" s="644"/>
      <c r="H401" s="644"/>
      <c r="I401" s="644"/>
      <c r="J401" s="644"/>
      <c r="K401" s="644"/>
      <c r="L401" s="644"/>
      <c r="M401" s="644"/>
      <c r="N401" s="644"/>
      <c r="O401" s="644"/>
      <c r="P401" s="644"/>
    </row>
    <row r="402" spans="4:16" s="364" customFormat="1">
      <c r="D402" s="644"/>
      <c r="E402" s="644"/>
      <c r="F402" s="644"/>
      <c r="G402" s="644"/>
      <c r="H402" s="644"/>
      <c r="I402" s="644"/>
      <c r="J402" s="644"/>
      <c r="K402" s="644"/>
      <c r="L402" s="644"/>
      <c r="M402" s="644"/>
      <c r="N402" s="644"/>
      <c r="O402" s="644"/>
      <c r="P402" s="644"/>
    </row>
    <row r="403" spans="4:16" s="364" customFormat="1">
      <c r="D403" s="644"/>
      <c r="E403" s="644"/>
      <c r="F403" s="644"/>
      <c r="G403" s="644"/>
      <c r="H403" s="644"/>
      <c r="I403" s="644"/>
      <c r="J403" s="644"/>
      <c r="K403" s="644"/>
      <c r="L403" s="644"/>
      <c r="M403" s="644"/>
      <c r="N403" s="644"/>
      <c r="O403" s="644"/>
      <c r="P403" s="644"/>
    </row>
    <row r="404" spans="4:16" s="364" customFormat="1">
      <c r="D404" s="644"/>
      <c r="E404" s="644"/>
      <c r="F404" s="644"/>
      <c r="G404" s="644"/>
      <c r="H404" s="644"/>
      <c r="I404" s="644"/>
      <c r="J404" s="644"/>
      <c r="K404" s="644"/>
      <c r="L404" s="644"/>
      <c r="M404" s="644"/>
      <c r="N404" s="644"/>
      <c r="O404" s="644"/>
      <c r="P404" s="644"/>
    </row>
    <row r="405" spans="4:16" s="364" customFormat="1">
      <c r="D405" s="644"/>
      <c r="E405" s="644"/>
      <c r="F405" s="644"/>
      <c r="G405" s="644"/>
      <c r="H405" s="644"/>
      <c r="I405" s="644"/>
      <c r="J405" s="644"/>
      <c r="K405" s="644"/>
      <c r="L405" s="644"/>
      <c r="M405" s="644"/>
      <c r="N405" s="644"/>
      <c r="O405" s="644"/>
      <c r="P405" s="644"/>
    </row>
    <row r="406" spans="4:16" s="364" customFormat="1">
      <c r="D406" s="644"/>
      <c r="E406" s="644"/>
      <c r="F406" s="644"/>
      <c r="G406" s="644"/>
      <c r="H406" s="644"/>
      <c r="I406" s="644"/>
      <c r="J406" s="644"/>
      <c r="K406" s="644"/>
      <c r="L406" s="644"/>
      <c r="M406" s="644"/>
      <c r="N406" s="644"/>
      <c r="O406" s="644"/>
      <c r="P406" s="644"/>
    </row>
    <row r="407" spans="4:16" s="364" customFormat="1">
      <c r="D407" s="644"/>
      <c r="E407" s="644"/>
      <c r="F407" s="644"/>
      <c r="G407" s="644"/>
      <c r="H407" s="644"/>
      <c r="I407" s="644"/>
      <c r="J407" s="644"/>
      <c r="K407" s="644"/>
      <c r="L407" s="644"/>
      <c r="M407" s="644"/>
      <c r="N407" s="644"/>
      <c r="O407" s="644"/>
      <c r="P407" s="644"/>
    </row>
    <row r="408" spans="4:16" s="364" customFormat="1">
      <c r="D408" s="644"/>
      <c r="E408" s="644"/>
      <c r="F408" s="644"/>
      <c r="G408" s="644"/>
      <c r="H408" s="644"/>
      <c r="I408" s="644"/>
      <c r="J408" s="644"/>
      <c r="K408" s="644"/>
      <c r="L408" s="644"/>
      <c r="M408" s="644"/>
      <c r="N408" s="644"/>
      <c r="O408" s="644"/>
      <c r="P408" s="644"/>
    </row>
    <row r="409" spans="4:16" s="364" customFormat="1">
      <c r="D409" s="644"/>
      <c r="E409" s="644"/>
      <c r="F409" s="644"/>
      <c r="G409" s="644"/>
      <c r="H409" s="644"/>
      <c r="I409" s="644"/>
      <c r="J409" s="644"/>
      <c r="K409" s="644"/>
      <c r="L409" s="644"/>
      <c r="M409" s="644"/>
      <c r="N409" s="644"/>
      <c r="O409" s="644"/>
      <c r="P409" s="644"/>
    </row>
    <row r="410" spans="4:16" s="364" customFormat="1">
      <c r="D410" s="644"/>
      <c r="E410" s="644"/>
      <c r="F410" s="644"/>
      <c r="G410" s="644"/>
      <c r="H410" s="644"/>
      <c r="I410" s="644"/>
      <c r="J410" s="644"/>
      <c r="K410" s="644"/>
      <c r="L410" s="644"/>
      <c r="M410" s="644"/>
      <c r="N410" s="644"/>
      <c r="O410" s="644"/>
      <c r="P410" s="644"/>
    </row>
    <row r="411" spans="4:16" s="364" customFormat="1">
      <c r="D411" s="644"/>
      <c r="E411" s="644"/>
      <c r="F411" s="644"/>
      <c r="G411" s="644"/>
      <c r="H411" s="644"/>
      <c r="I411" s="644"/>
      <c r="J411" s="644"/>
      <c r="K411" s="644"/>
      <c r="L411" s="644"/>
      <c r="M411" s="644"/>
      <c r="N411" s="644"/>
      <c r="O411" s="644"/>
      <c r="P411" s="644"/>
    </row>
    <row r="412" spans="4:16" s="364" customFormat="1">
      <c r="D412" s="644"/>
      <c r="E412" s="644"/>
      <c r="F412" s="644"/>
      <c r="G412" s="644"/>
      <c r="H412" s="644"/>
      <c r="I412" s="644"/>
      <c r="J412" s="644"/>
      <c r="K412" s="644"/>
      <c r="L412" s="644"/>
      <c r="M412" s="644"/>
      <c r="N412" s="644"/>
      <c r="O412" s="644"/>
      <c r="P412" s="644"/>
    </row>
    <row r="413" spans="4:16" s="364" customFormat="1">
      <c r="D413" s="644"/>
      <c r="E413" s="644"/>
      <c r="F413" s="644"/>
      <c r="G413" s="644"/>
      <c r="H413" s="644"/>
      <c r="I413" s="644"/>
      <c r="J413" s="644"/>
      <c r="K413" s="644"/>
      <c r="L413" s="644"/>
      <c r="M413" s="644"/>
      <c r="N413" s="644"/>
      <c r="O413" s="644"/>
      <c r="P413" s="644"/>
    </row>
    <row r="414" spans="4:16" s="364" customFormat="1">
      <c r="D414" s="644"/>
      <c r="E414" s="644"/>
      <c r="F414" s="644"/>
      <c r="G414" s="644"/>
      <c r="H414" s="644"/>
      <c r="I414" s="644"/>
      <c r="J414" s="644"/>
      <c r="K414" s="644"/>
      <c r="L414" s="644"/>
      <c r="M414" s="644"/>
      <c r="N414" s="644"/>
      <c r="O414" s="644"/>
      <c r="P414" s="644"/>
    </row>
    <row r="415" spans="4:16" s="364" customFormat="1">
      <c r="D415" s="644"/>
      <c r="E415" s="644"/>
      <c r="F415" s="644"/>
      <c r="G415" s="644"/>
      <c r="H415" s="644"/>
      <c r="I415" s="644"/>
      <c r="J415" s="644"/>
      <c r="K415" s="644"/>
      <c r="L415" s="644"/>
      <c r="M415" s="644"/>
      <c r="N415" s="644"/>
      <c r="O415" s="644"/>
      <c r="P415" s="644"/>
    </row>
    <row r="416" spans="4:16" s="364" customFormat="1">
      <c r="D416" s="644"/>
      <c r="E416" s="644"/>
      <c r="F416" s="644"/>
      <c r="G416" s="644"/>
      <c r="H416" s="644"/>
      <c r="I416" s="644"/>
      <c r="J416" s="644"/>
      <c r="K416" s="644"/>
      <c r="L416" s="644"/>
      <c r="M416" s="644"/>
      <c r="N416" s="644"/>
      <c r="O416" s="644"/>
      <c r="P416" s="644"/>
    </row>
    <row r="417" spans="4:16" s="364" customFormat="1">
      <c r="D417" s="644"/>
      <c r="E417" s="644"/>
      <c r="F417" s="644"/>
      <c r="G417" s="644"/>
      <c r="H417" s="644"/>
      <c r="I417" s="644"/>
      <c r="J417" s="644"/>
      <c r="K417" s="644"/>
      <c r="L417" s="644"/>
      <c r="M417" s="644"/>
      <c r="N417" s="644"/>
      <c r="O417" s="644"/>
      <c r="P417" s="644"/>
    </row>
    <row r="418" spans="4:16" s="364" customFormat="1">
      <c r="D418" s="644"/>
      <c r="E418" s="644"/>
      <c r="F418" s="644"/>
      <c r="G418" s="644"/>
      <c r="H418" s="644"/>
      <c r="I418" s="644"/>
      <c r="J418" s="644"/>
      <c r="K418" s="644"/>
      <c r="L418" s="644"/>
      <c r="M418" s="644"/>
      <c r="N418" s="644"/>
      <c r="O418" s="644"/>
      <c r="P418" s="644"/>
    </row>
    <row r="419" spans="4:16" s="364" customFormat="1">
      <c r="D419" s="644"/>
      <c r="E419" s="644"/>
      <c r="F419" s="644"/>
      <c r="G419" s="644"/>
      <c r="H419" s="644"/>
      <c r="I419" s="644"/>
      <c r="J419" s="644"/>
      <c r="K419" s="644"/>
      <c r="L419" s="644"/>
      <c r="M419" s="644"/>
      <c r="N419" s="644"/>
      <c r="O419" s="644"/>
      <c r="P419" s="644"/>
    </row>
    <row r="420" spans="4:16" s="364" customFormat="1">
      <c r="D420" s="644"/>
      <c r="E420" s="644"/>
      <c r="F420" s="644"/>
      <c r="G420" s="644"/>
      <c r="H420" s="644"/>
      <c r="I420" s="644"/>
      <c r="J420" s="644"/>
      <c r="K420" s="644"/>
      <c r="L420" s="644"/>
      <c r="M420" s="644"/>
      <c r="N420" s="644"/>
      <c r="O420" s="644"/>
      <c r="P420" s="644"/>
    </row>
    <row r="421" spans="4:16" s="364" customFormat="1">
      <c r="D421" s="644"/>
      <c r="E421" s="644"/>
      <c r="F421" s="644"/>
      <c r="G421" s="644"/>
      <c r="H421" s="644"/>
      <c r="I421" s="644"/>
      <c r="J421" s="644"/>
      <c r="K421" s="644"/>
      <c r="L421" s="644"/>
      <c r="M421" s="644"/>
      <c r="N421" s="644"/>
      <c r="O421" s="644"/>
      <c r="P421" s="644"/>
    </row>
    <row r="422" spans="4:16" s="364" customFormat="1">
      <c r="D422" s="644"/>
      <c r="E422" s="644"/>
      <c r="F422" s="644"/>
      <c r="G422" s="644"/>
      <c r="H422" s="644"/>
      <c r="I422" s="644"/>
      <c r="J422" s="644"/>
      <c r="K422" s="644"/>
      <c r="L422" s="644"/>
      <c r="M422" s="644"/>
      <c r="N422" s="644"/>
      <c r="O422" s="644"/>
      <c r="P422" s="644"/>
    </row>
    <row r="423" spans="4:16" s="364" customFormat="1">
      <c r="D423" s="644"/>
      <c r="E423" s="644"/>
      <c r="F423" s="644"/>
      <c r="G423" s="644"/>
      <c r="H423" s="644"/>
      <c r="I423" s="644"/>
      <c r="J423" s="644"/>
      <c r="K423" s="644"/>
      <c r="L423" s="644"/>
      <c r="M423" s="644"/>
      <c r="N423" s="644"/>
      <c r="O423" s="644"/>
      <c r="P423" s="644"/>
    </row>
    <row r="424" spans="4:16" s="364" customFormat="1">
      <c r="D424" s="644"/>
      <c r="E424" s="644"/>
      <c r="F424" s="644"/>
      <c r="G424" s="644"/>
      <c r="H424" s="644"/>
      <c r="I424" s="644"/>
      <c r="J424" s="644"/>
      <c r="K424" s="644"/>
      <c r="L424" s="644"/>
      <c r="M424" s="644"/>
      <c r="N424" s="644"/>
      <c r="O424" s="644"/>
      <c r="P424" s="644"/>
    </row>
    <row r="425" spans="4:16" s="364" customFormat="1">
      <c r="D425" s="644"/>
      <c r="E425" s="644"/>
      <c r="F425" s="644"/>
      <c r="G425" s="644"/>
      <c r="H425" s="644"/>
      <c r="I425" s="644"/>
      <c r="J425" s="644"/>
      <c r="K425" s="644"/>
      <c r="L425" s="644"/>
      <c r="M425" s="644"/>
      <c r="N425" s="644"/>
      <c r="O425" s="644"/>
      <c r="P425" s="644"/>
    </row>
    <row r="426" spans="4:16" s="364" customFormat="1">
      <c r="D426" s="644"/>
      <c r="E426" s="644"/>
      <c r="F426" s="644"/>
      <c r="G426" s="644"/>
      <c r="H426" s="644"/>
      <c r="I426" s="644"/>
      <c r="J426" s="644"/>
      <c r="K426" s="644"/>
      <c r="L426" s="644"/>
      <c r="M426" s="644"/>
      <c r="N426" s="644"/>
      <c r="O426" s="644"/>
      <c r="P426" s="644"/>
    </row>
    <row r="427" spans="4:16" s="364" customFormat="1">
      <c r="D427" s="644"/>
      <c r="E427" s="644"/>
      <c r="F427" s="644"/>
      <c r="G427" s="644"/>
      <c r="H427" s="644"/>
      <c r="I427" s="644"/>
      <c r="J427" s="644"/>
      <c r="K427" s="644"/>
      <c r="L427" s="644"/>
      <c r="M427" s="644"/>
      <c r="N427" s="644"/>
      <c r="O427" s="644"/>
      <c r="P427" s="644"/>
    </row>
    <row r="428" spans="4:16" s="364" customFormat="1">
      <c r="D428" s="644"/>
      <c r="E428" s="644"/>
      <c r="F428" s="644"/>
      <c r="G428" s="644"/>
      <c r="H428" s="644"/>
      <c r="I428" s="644"/>
      <c r="J428" s="644"/>
      <c r="K428" s="644"/>
      <c r="L428" s="644"/>
      <c r="M428" s="644"/>
      <c r="N428" s="644"/>
      <c r="O428" s="644"/>
      <c r="P428" s="644"/>
    </row>
    <row r="429" spans="4:16" s="364" customFormat="1">
      <c r="D429" s="644"/>
      <c r="E429" s="644"/>
      <c r="F429" s="644"/>
      <c r="G429" s="644"/>
      <c r="H429" s="644"/>
      <c r="I429" s="644"/>
      <c r="J429" s="644"/>
      <c r="K429" s="644"/>
      <c r="L429" s="644"/>
      <c r="M429" s="644"/>
      <c r="N429" s="644"/>
      <c r="O429" s="644"/>
      <c r="P429" s="644"/>
    </row>
    <row r="430" spans="4:16" s="364" customFormat="1">
      <c r="D430" s="644"/>
      <c r="E430" s="644"/>
      <c r="F430" s="644"/>
      <c r="G430" s="644"/>
      <c r="H430" s="644"/>
      <c r="I430" s="644"/>
      <c r="J430" s="644"/>
      <c r="K430" s="644"/>
      <c r="L430" s="644"/>
      <c r="M430" s="644"/>
      <c r="N430" s="644"/>
      <c r="O430" s="644"/>
      <c r="P430" s="644"/>
    </row>
    <row r="431" spans="4:16" s="364" customFormat="1">
      <c r="D431" s="644"/>
      <c r="E431" s="644"/>
      <c r="F431" s="644"/>
      <c r="G431" s="644"/>
      <c r="H431" s="644"/>
      <c r="I431" s="644"/>
      <c r="J431" s="644"/>
      <c r="K431" s="644"/>
      <c r="L431" s="644"/>
      <c r="M431" s="644"/>
      <c r="N431" s="644"/>
      <c r="O431" s="644"/>
      <c r="P431" s="644"/>
    </row>
    <row r="432" spans="4:16" s="364" customFormat="1">
      <c r="D432" s="644"/>
      <c r="E432" s="644"/>
      <c r="F432" s="644"/>
      <c r="G432" s="644"/>
      <c r="H432" s="644"/>
      <c r="I432" s="644"/>
      <c r="J432" s="644"/>
      <c r="K432" s="644"/>
      <c r="L432" s="644"/>
      <c r="M432" s="644"/>
      <c r="N432" s="644"/>
      <c r="O432" s="644"/>
      <c r="P432" s="644"/>
    </row>
    <row r="433" spans="4:16" s="364" customFormat="1">
      <c r="D433" s="644"/>
      <c r="E433" s="644"/>
      <c r="F433" s="644"/>
      <c r="G433" s="644"/>
      <c r="H433" s="644"/>
      <c r="I433" s="644"/>
      <c r="J433" s="644"/>
      <c r="K433" s="644"/>
      <c r="L433" s="644"/>
      <c r="M433" s="644"/>
      <c r="N433" s="644"/>
      <c r="O433" s="644"/>
      <c r="P433" s="644"/>
    </row>
    <row r="434" spans="4:16" s="364" customFormat="1">
      <c r="D434" s="644"/>
      <c r="E434" s="644"/>
      <c r="F434" s="644"/>
      <c r="G434" s="644"/>
      <c r="H434" s="644"/>
      <c r="I434" s="644"/>
      <c r="J434" s="644"/>
      <c r="K434" s="644"/>
      <c r="L434" s="644"/>
      <c r="M434" s="644"/>
      <c r="N434" s="644"/>
      <c r="O434" s="644"/>
      <c r="P434" s="644"/>
    </row>
    <row r="435" spans="4:16" s="364" customFormat="1">
      <c r="D435" s="644"/>
      <c r="E435" s="644"/>
      <c r="F435" s="644"/>
      <c r="G435" s="644"/>
      <c r="H435" s="644"/>
      <c r="I435" s="644"/>
      <c r="J435" s="644"/>
      <c r="K435" s="644"/>
      <c r="L435" s="644"/>
      <c r="M435" s="644"/>
      <c r="N435" s="644"/>
      <c r="O435" s="644"/>
      <c r="P435" s="644"/>
    </row>
    <row r="436" spans="4:16" s="364" customFormat="1">
      <c r="D436" s="644"/>
      <c r="E436" s="644"/>
      <c r="F436" s="644"/>
      <c r="G436" s="644"/>
      <c r="H436" s="644"/>
      <c r="I436" s="644"/>
      <c r="J436" s="644"/>
      <c r="K436" s="644"/>
      <c r="L436" s="644"/>
      <c r="M436" s="644"/>
      <c r="N436" s="644"/>
      <c r="O436" s="644"/>
      <c r="P436" s="644"/>
    </row>
    <row r="437" spans="4:16" s="364" customFormat="1">
      <c r="D437" s="644"/>
      <c r="E437" s="644"/>
      <c r="F437" s="644"/>
      <c r="G437" s="644"/>
      <c r="H437" s="644"/>
      <c r="I437" s="644"/>
      <c r="J437" s="644"/>
      <c r="K437" s="644"/>
      <c r="L437" s="644"/>
      <c r="M437" s="644"/>
      <c r="N437" s="644"/>
      <c r="O437" s="644"/>
      <c r="P437" s="644"/>
    </row>
    <row r="438" spans="4:16" s="364" customFormat="1">
      <c r="D438" s="644"/>
      <c r="E438" s="644"/>
      <c r="F438" s="644"/>
      <c r="G438" s="644"/>
      <c r="H438" s="644"/>
      <c r="I438" s="644"/>
      <c r="J438" s="644"/>
      <c r="K438" s="644"/>
      <c r="L438" s="644"/>
      <c r="M438" s="644"/>
      <c r="N438" s="644"/>
      <c r="O438" s="644"/>
      <c r="P438" s="644"/>
    </row>
    <row r="439" spans="4:16" s="364" customFormat="1">
      <c r="D439" s="644"/>
      <c r="E439" s="644"/>
      <c r="F439" s="644"/>
      <c r="G439" s="644"/>
      <c r="H439" s="644"/>
      <c r="I439" s="644"/>
      <c r="J439" s="644"/>
      <c r="K439" s="644"/>
      <c r="L439" s="644"/>
      <c r="M439" s="644"/>
      <c r="N439" s="644"/>
      <c r="O439" s="644"/>
      <c r="P439" s="644"/>
    </row>
    <row r="440" spans="4:16" s="364" customFormat="1">
      <c r="D440" s="644"/>
      <c r="E440" s="644"/>
      <c r="F440" s="644"/>
      <c r="G440" s="644"/>
      <c r="H440" s="644"/>
      <c r="I440" s="644"/>
      <c r="J440" s="644"/>
      <c r="K440" s="644"/>
      <c r="L440" s="644"/>
      <c r="M440" s="644"/>
      <c r="N440" s="644"/>
      <c r="O440" s="644"/>
      <c r="P440" s="644"/>
    </row>
    <row r="441" spans="4:16" s="364" customFormat="1">
      <c r="D441" s="644"/>
      <c r="E441" s="644"/>
      <c r="F441" s="644"/>
      <c r="G441" s="644"/>
      <c r="H441" s="644"/>
      <c r="I441" s="644"/>
      <c r="J441" s="644"/>
      <c r="K441" s="644"/>
      <c r="L441" s="644"/>
      <c r="M441" s="644"/>
      <c r="N441" s="644"/>
      <c r="O441" s="644"/>
      <c r="P441" s="644"/>
    </row>
    <row r="442" spans="4:16" s="364" customFormat="1">
      <c r="D442" s="644"/>
      <c r="E442" s="644"/>
      <c r="F442" s="644"/>
      <c r="G442" s="644"/>
      <c r="H442" s="644"/>
      <c r="I442" s="644"/>
      <c r="J442" s="644"/>
      <c r="K442" s="644"/>
      <c r="L442" s="644"/>
      <c r="M442" s="644"/>
      <c r="N442" s="644"/>
      <c r="O442" s="644"/>
      <c r="P442" s="644"/>
    </row>
    <row r="443" spans="4:16" s="364" customFormat="1">
      <c r="D443" s="644"/>
      <c r="E443" s="644"/>
      <c r="F443" s="644"/>
      <c r="G443" s="644"/>
      <c r="H443" s="644"/>
      <c r="I443" s="644"/>
      <c r="J443" s="644"/>
      <c r="K443" s="644"/>
      <c r="L443" s="644"/>
      <c r="M443" s="644"/>
      <c r="N443" s="644"/>
      <c r="O443" s="644"/>
      <c r="P443" s="644"/>
    </row>
    <row r="444" spans="4:16" s="364" customFormat="1">
      <c r="D444" s="644"/>
      <c r="E444" s="644"/>
      <c r="F444" s="644"/>
      <c r="G444" s="644"/>
      <c r="H444" s="644"/>
      <c r="I444" s="644"/>
      <c r="J444" s="644"/>
      <c r="K444" s="644"/>
      <c r="L444" s="644"/>
      <c r="M444" s="644"/>
      <c r="N444" s="644"/>
      <c r="O444" s="644"/>
      <c r="P444" s="644"/>
    </row>
    <row r="445" spans="4:16" s="364" customFormat="1">
      <c r="D445" s="644"/>
      <c r="E445" s="644"/>
      <c r="F445" s="644"/>
      <c r="G445" s="644"/>
      <c r="H445" s="644"/>
      <c r="I445" s="644"/>
      <c r="J445" s="644"/>
      <c r="K445" s="644"/>
      <c r="L445" s="644"/>
      <c r="M445" s="644"/>
      <c r="N445" s="644"/>
      <c r="O445" s="644"/>
      <c r="P445" s="644"/>
    </row>
    <row r="446" spans="4:16" s="364" customFormat="1">
      <c r="D446" s="644"/>
      <c r="E446" s="644"/>
      <c r="F446" s="644"/>
      <c r="G446" s="644"/>
      <c r="H446" s="644"/>
      <c r="I446" s="644"/>
      <c r="J446" s="644"/>
      <c r="K446" s="644"/>
      <c r="L446" s="644"/>
      <c r="M446" s="644"/>
      <c r="N446" s="644"/>
      <c r="O446" s="644"/>
      <c r="P446" s="644"/>
    </row>
    <row r="447" spans="4:16" s="364" customFormat="1">
      <c r="D447" s="644"/>
      <c r="E447" s="644"/>
      <c r="F447" s="644"/>
      <c r="G447" s="644"/>
      <c r="H447" s="644"/>
      <c r="I447" s="644"/>
      <c r="J447" s="644"/>
      <c r="K447" s="644"/>
      <c r="L447" s="644"/>
      <c r="M447" s="644"/>
      <c r="N447" s="644"/>
      <c r="O447" s="644"/>
      <c r="P447" s="644"/>
    </row>
    <row r="448" spans="4:16" s="364" customFormat="1">
      <c r="D448" s="644"/>
      <c r="E448" s="644"/>
      <c r="F448" s="644"/>
      <c r="G448" s="644"/>
      <c r="H448" s="644"/>
      <c r="I448" s="644"/>
      <c r="J448" s="644"/>
      <c r="K448" s="644"/>
      <c r="L448" s="644"/>
      <c r="M448" s="644"/>
      <c r="N448" s="644"/>
      <c r="O448" s="644"/>
      <c r="P448" s="644"/>
    </row>
    <row r="449" spans="4:16" s="364" customFormat="1">
      <c r="D449" s="644"/>
      <c r="E449" s="644"/>
      <c r="F449" s="644"/>
      <c r="G449" s="644"/>
      <c r="H449" s="644"/>
      <c r="I449" s="644"/>
      <c r="J449" s="644"/>
      <c r="K449" s="644"/>
      <c r="L449" s="644"/>
      <c r="M449" s="644"/>
      <c r="N449" s="644"/>
      <c r="O449" s="644"/>
      <c r="P449" s="644"/>
    </row>
    <row r="450" spans="4:16" s="364" customFormat="1">
      <c r="D450" s="644"/>
      <c r="E450" s="644"/>
      <c r="F450" s="644"/>
      <c r="G450" s="644"/>
      <c r="H450" s="644"/>
      <c r="I450" s="644"/>
      <c r="J450" s="644"/>
      <c r="K450" s="644"/>
      <c r="L450" s="644"/>
      <c r="M450" s="644"/>
      <c r="N450" s="644"/>
      <c r="O450" s="644"/>
      <c r="P450" s="644"/>
    </row>
    <row r="451" spans="4:16" s="364" customFormat="1">
      <c r="D451" s="644"/>
      <c r="E451" s="644"/>
      <c r="F451" s="644"/>
      <c r="G451" s="644"/>
      <c r="H451" s="644"/>
      <c r="I451" s="644"/>
      <c r="J451" s="644"/>
      <c r="K451" s="644"/>
      <c r="L451" s="644"/>
      <c r="M451" s="644"/>
      <c r="N451" s="644"/>
      <c r="O451" s="644"/>
      <c r="P451" s="644"/>
    </row>
    <row r="452" spans="4:16" s="364" customFormat="1">
      <c r="D452" s="644"/>
      <c r="E452" s="644"/>
      <c r="F452" s="644"/>
      <c r="G452" s="644"/>
      <c r="H452" s="644"/>
      <c r="I452" s="644"/>
      <c r="J452" s="644"/>
      <c r="K452" s="644"/>
      <c r="L452" s="644"/>
      <c r="M452" s="644"/>
      <c r="N452" s="644"/>
      <c r="O452" s="644"/>
      <c r="P452" s="644"/>
    </row>
    <row r="453" spans="4:16" s="364" customFormat="1">
      <c r="D453" s="644"/>
      <c r="E453" s="644"/>
      <c r="F453" s="644"/>
      <c r="G453" s="644"/>
      <c r="H453" s="644"/>
      <c r="I453" s="644"/>
      <c r="J453" s="644"/>
      <c r="K453" s="644"/>
      <c r="L453" s="644"/>
      <c r="M453" s="644"/>
      <c r="N453" s="644"/>
      <c r="O453" s="644"/>
      <c r="P453" s="644"/>
    </row>
    <row r="454" spans="4:16" s="364" customFormat="1">
      <c r="D454" s="644"/>
      <c r="E454" s="644"/>
      <c r="F454" s="644"/>
      <c r="G454" s="644"/>
      <c r="H454" s="644"/>
      <c r="I454" s="644"/>
      <c r="J454" s="644"/>
      <c r="K454" s="644"/>
      <c r="L454" s="644"/>
      <c r="M454" s="644"/>
      <c r="N454" s="644"/>
      <c r="O454" s="644"/>
      <c r="P454" s="644"/>
    </row>
    <row r="455" spans="4:16" s="364" customFormat="1">
      <c r="D455" s="644"/>
      <c r="E455" s="644"/>
      <c r="F455" s="644"/>
      <c r="G455" s="644"/>
      <c r="H455" s="644"/>
      <c r="I455" s="644"/>
      <c r="J455" s="644"/>
      <c r="K455" s="644"/>
      <c r="L455" s="644"/>
      <c r="M455" s="644"/>
      <c r="N455" s="644"/>
      <c r="O455" s="644"/>
      <c r="P455" s="644"/>
    </row>
    <row r="456" spans="4:16" s="364" customFormat="1">
      <c r="D456" s="644"/>
      <c r="E456" s="644"/>
      <c r="F456" s="644"/>
      <c r="G456" s="644"/>
      <c r="H456" s="644"/>
      <c r="I456" s="644"/>
      <c r="J456" s="644"/>
      <c r="K456" s="644"/>
      <c r="L456" s="644"/>
      <c r="M456" s="644"/>
      <c r="N456" s="644"/>
      <c r="O456" s="644"/>
      <c r="P456" s="644"/>
    </row>
    <row r="457" spans="4:16" s="364" customFormat="1">
      <c r="D457" s="644"/>
      <c r="E457" s="644"/>
      <c r="F457" s="644"/>
      <c r="G457" s="644"/>
      <c r="H457" s="644"/>
      <c r="I457" s="644"/>
      <c r="J457" s="644"/>
      <c r="K457" s="644"/>
      <c r="L457" s="644"/>
      <c r="M457" s="644"/>
      <c r="N457" s="644"/>
      <c r="O457" s="644"/>
      <c r="P457" s="644"/>
    </row>
    <row r="458" spans="4:16" s="364" customFormat="1">
      <c r="D458" s="644"/>
      <c r="E458" s="644"/>
      <c r="F458" s="644"/>
      <c r="G458" s="644"/>
      <c r="H458" s="644"/>
      <c r="I458" s="644"/>
      <c r="J458" s="644"/>
      <c r="K458" s="644"/>
      <c r="L458" s="644"/>
      <c r="M458" s="644"/>
      <c r="N458" s="644"/>
      <c r="O458" s="644"/>
      <c r="P458" s="644"/>
    </row>
    <row r="459" spans="4:16" s="364" customFormat="1">
      <c r="D459" s="644"/>
      <c r="E459" s="644"/>
      <c r="F459" s="644"/>
      <c r="G459" s="644"/>
      <c r="H459" s="644"/>
      <c r="I459" s="644"/>
      <c r="J459" s="644"/>
      <c r="K459" s="644"/>
      <c r="L459" s="644"/>
      <c r="M459" s="644"/>
      <c r="N459" s="644"/>
      <c r="O459" s="644"/>
      <c r="P459" s="644"/>
    </row>
    <row r="460" spans="4:16" s="364" customFormat="1">
      <c r="D460" s="644"/>
      <c r="E460" s="644"/>
      <c r="F460" s="644"/>
      <c r="G460" s="644"/>
      <c r="H460" s="644"/>
      <c r="I460" s="644"/>
      <c r="J460" s="644"/>
      <c r="K460" s="644"/>
      <c r="L460" s="644"/>
      <c r="M460" s="644"/>
      <c r="N460" s="644"/>
      <c r="O460" s="644"/>
      <c r="P460" s="644"/>
    </row>
    <row r="461" spans="4:16" s="364" customFormat="1">
      <c r="D461" s="644"/>
      <c r="E461" s="644"/>
      <c r="F461" s="644"/>
      <c r="G461" s="644"/>
      <c r="H461" s="644"/>
      <c r="I461" s="644"/>
      <c r="J461" s="644"/>
      <c r="K461" s="644"/>
      <c r="L461" s="644"/>
      <c r="M461" s="644"/>
      <c r="N461" s="644"/>
      <c r="O461" s="644"/>
      <c r="P461" s="644"/>
    </row>
    <row r="462" spans="4:16" s="364" customFormat="1">
      <c r="D462" s="644"/>
      <c r="E462" s="644"/>
      <c r="F462" s="644"/>
      <c r="G462" s="644"/>
      <c r="H462" s="644"/>
      <c r="I462" s="644"/>
      <c r="J462" s="644"/>
      <c r="K462" s="644"/>
      <c r="L462" s="644"/>
      <c r="M462" s="644"/>
      <c r="N462" s="644"/>
      <c r="O462" s="644"/>
      <c r="P462" s="644"/>
    </row>
    <row r="463" spans="4:16" s="364" customFormat="1">
      <c r="D463" s="644"/>
      <c r="E463" s="644"/>
      <c r="F463" s="644"/>
      <c r="G463" s="644"/>
      <c r="H463" s="644"/>
      <c r="I463" s="644"/>
      <c r="J463" s="644"/>
      <c r="K463" s="644"/>
      <c r="L463" s="644"/>
      <c r="M463" s="644"/>
      <c r="N463" s="644"/>
      <c r="O463" s="644"/>
      <c r="P463" s="644"/>
    </row>
    <row r="464" spans="4:16" s="364" customFormat="1">
      <c r="D464" s="644"/>
      <c r="E464" s="644"/>
      <c r="F464" s="644"/>
      <c r="G464" s="644"/>
      <c r="H464" s="644"/>
      <c r="I464" s="644"/>
      <c r="J464" s="644"/>
      <c r="K464" s="644"/>
      <c r="L464" s="644"/>
      <c r="M464" s="644"/>
      <c r="N464" s="644"/>
      <c r="O464" s="644"/>
      <c r="P464" s="644"/>
    </row>
    <row r="465" spans="4:16" s="364" customFormat="1">
      <c r="D465" s="644"/>
      <c r="E465" s="644"/>
      <c r="F465" s="644"/>
      <c r="G465" s="644"/>
      <c r="H465" s="644"/>
      <c r="I465" s="644"/>
      <c r="J465" s="644"/>
      <c r="K465" s="644"/>
      <c r="L465" s="644"/>
      <c r="M465" s="644"/>
      <c r="N465" s="644"/>
      <c r="O465" s="644"/>
      <c r="P465" s="644"/>
    </row>
    <row r="466" spans="4:16" s="364" customFormat="1">
      <c r="D466" s="644"/>
      <c r="E466" s="644"/>
      <c r="F466" s="644"/>
      <c r="G466" s="644"/>
      <c r="H466" s="644"/>
      <c r="I466" s="644"/>
      <c r="J466" s="644"/>
      <c r="K466" s="644"/>
      <c r="L466" s="644"/>
      <c r="M466" s="644"/>
      <c r="N466" s="644"/>
      <c r="O466" s="644"/>
      <c r="P466" s="644"/>
    </row>
    <row r="467" spans="4:16" s="364" customFormat="1">
      <c r="D467" s="644"/>
      <c r="E467" s="644"/>
      <c r="F467" s="644"/>
      <c r="G467" s="644"/>
      <c r="H467" s="644"/>
      <c r="I467" s="644"/>
      <c r="J467" s="644"/>
      <c r="K467" s="644"/>
      <c r="L467" s="644"/>
      <c r="M467" s="644"/>
      <c r="N467" s="644"/>
      <c r="O467" s="644"/>
      <c r="P467" s="644"/>
    </row>
    <row r="468" spans="4:16" s="364" customFormat="1">
      <c r="D468" s="644"/>
      <c r="E468" s="644"/>
      <c r="F468" s="644"/>
      <c r="G468" s="644"/>
      <c r="H468" s="644"/>
      <c r="I468" s="644"/>
      <c r="J468" s="644"/>
      <c r="K468" s="644"/>
      <c r="L468" s="644"/>
      <c r="M468" s="644"/>
      <c r="N468" s="644"/>
      <c r="O468" s="644"/>
      <c r="P468" s="644"/>
    </row>
    <row r="469" spans="4:16" s="364" customFormat="1">
      <c r="D469" s="644"/>
      <c r="E469" s="644"/>
      <c r="F469" s="644"/>
      <c r="G469" s="644"/>
      <c r="H469" s="644"/>
      <c r="I469" s="644"/>
      <c r="J469" s="644"/>
      <c r="K469" s="644"/>
      <c r="L469" s="644"/>
      <c r="M469" s="644"/>
      <c r="N469" s="644"/>
      <c r="O469" s="644"/>
      <c r="P469" s="644"/>
    </row>
    <row r="470" spans="4:16" s="364" customFormat="1">
      <c r="D470" s="644"/>
      <c r="E470" s="644"/>
      <c r="F470" s="644"/>
      <c r="G470" s="644"/>
      <c r="H470" s="644"/>
      <c r="I470" s="644"/>
      <c r="J470" s="644"/>
      <c r="K470" s="644"/>
      <c r="L470" s="644"/>
      <c r="M470" s="644"/>
      <c r="N470" s="644"/>
      <c r="O470" s="644"/>
      <c r="P470" s="644"/>
    </row>
    <row r="471" spans="4:16" s="364" customFormat="1">
      <c r="D471" s="644"/>
      <c r="E471" s="644"/>
      <c r="F471" s="644"/>
      <c r="G471" s="644"/>
      <c r="H471" s="644"/>
      <c r="I471" s="644"/>
      <c r="J471" s="644"/>
      <c r="K471" s="644"/>
      <c r="L471" s="644"/>
      <c r="M471" s="644"/>
      <c r="N471" s="644"/>
      <c r="O471" s="644"/>
      <c r="P471" s="644"/>
    </row>
    <row r="472" spans="4:16" s="364" customFormat="1">
      <c r="D472" s="644"/>
      <c r="E472" s="644"/>
      <c r="F472" s="644"/>
      <c r="G472" s="644"/>
      <c r="H472" s="644"/>
      <c r="I472" s="644"/>
      <c r="J472" s="644"/>
      <c r="K472" s="644"/>
      <c r="L472" s="644"/>
      <c r="M472" s="644"/>
      <c r="N472" s="644"/>
      <c r="O472" s="644"/>
      <c r="P472" s="644"/>
    </row>
    <row r="473" spans="4:16" s="364" customFormat="1">
      <c r="D473" s="644"/>
      <c r="E473" s="644"/>
      <c r="F473" s="644"/>
      <c r="G473" s="644"/>
      <c r="H473" s="644"/>
      <c r="I473" s="644"/>
      <c r="J473" s="644"/>
      <c r="K473" s="644"/>
      <c r="L473" s="644"/>
      <c r="M473" s="644"/>
      <c r="N473" s="644"/>
      <c r="O473" s="644"/>
      <c r="P473" s="644"/>
    </row>
    <row r="474" spans="4:16" s="364" customFormat="1">
      <c r="D474" s="644"/>
      <c r="E474" s="644"/>
      <c r="F474" s="644"/>
      <c r="G474" s="644"/>
      <c r="H474" s="644"/>
      <c r="I474" s="644"/>
      <c r="J474" s="644"/>
      <c r="K474" s="644"/>
      <c r="L474" s="644"/>
      <c r="M474" s="644"/>
      <c r="N474" s="644"/>
      <c r="O474" s="644"/>
      <c r="P474" s="644"/>
    </row>
    <row r="475" spans="4:16" s="364" customFormat="1">
      <c r="D475" s="644"/>
      <c r="E475" s="644"/>
      <c r="F475" s="644"/>
      <c r="G475" s="644"/>
      <c r="H475" s="644"/>
      <c r="I475" s="644"/>
      <c r="J475" s="644"/>
      <c r="K475" s="644"/>
      <c r="L475" s="644"/>
      <c r="M475" s="644"/>
      <c r="N475" s="644"/>
      <c r="O475" s="644"/>
      <c r="P475" s="644"/>
    </row>
    <row r="476" spans="4:16" s="364" customFormat="1">
      <c r="D476" s="644"/>
      <c r="E476" s="644"/>
      <c r="F476" s="644"/>
      <c r="G476" s="644"/>
      <c r="H476" s="644"/>
      <c r="I476" s="644"/>
      <c r="J476" s="644"/>
      <c r="K476" s="644"/>
      <c r="L476" s="644"/>
      <c r="M476" s="644"/>
      <c r="N476" s="644"/>
      <c r="O476" s="644"/>
      <c r="P476" s="644"/>
    </row>
    <row r="477" spans="4:16" s="364" customFormat="1">
      <c r="D477" s="644"/>
      <c r="E477" s="644"/>
      <c r="F477" s="644"/>
      <c r="G477" s="644"/>
      <c r="H477" s="644"/>
      <c r="I477" s="644"/>
      <c r="J477" s="644"/>
      <c r="K477" s="644"/>
      <c r="L477" s="644"/>
      <c r="M477" s="644"/>
      <c r="N477" s="644"/>
      <c r="O477" s="644"/>
      <c r="P477" s="644"/>
    </row>
    <row r="478" spans="4:16" s="364" customFormat="1">
      <c r="D478" s="644"/>
      <c r="E478" s="644"/>
      <c r="F478" s="644"/>
      <c r="G478" s="644"/>
      <c r="H478" s="644"/>
      <c r="I478" s="644"/>
      <c r="J478" s="644"/>
      <c r="K478" s="644"/>
      <c r="L478" s="644"/>
      <c r="M478" s="644"/>
      <c r="N478" s="644"/>
      <c r="O478" s="644"/>
      <c r="P478" s="644"/>
    </row>
    <row r="479" spans="4:16" s="364" customFormat="1">
      <c r="D479" s="644"/>
      <c r="E479" s="644"/>
      <c r="F479" s="644"/>
      <c r="G479" s="644"/>
      <c r="H479" s="644"/>
      <c r="I479" s="644"/>
      <c r="J479" s="644"/>
      <c r="K479" s="644"/>
      <c r="L479" s="644"/>
      <c r="M479" s="644"/>
      <c r="N479" s="644"/>
      <c r="O479" s="644"/>
      <c r="P479" s="644"/>
    </row>
    <row r="480" spans="4:16" s="364" customFormat="1">
      <c r="D480" s="644"/>
      <c r="E480" s="644"/>
      <c r="F480" s="644"/>
      <c r="G480" s="644"/>
      <c r="H480" s="644"/>
      <c r="I480" s="644"/>
      <c r="J480" s="644"/>
      <c r="K480" s="644"/>
      <c r="L480" s="644"/>
      <c r="M480" s="644"/>
      <c r="N480" s="644"/>
      <c r="O480" s="644"/>
      <c r="P480" s="644"/>
    </row>
    <row r="481" spans="4:16" s="364" customFormat="1">
      <c r="D481" s="644"/>
      <c r="E481" s="644"/>
      <c r="F481" s="644"/>
      <c r="G481" s="644"/>
      <c r="H481" s="644"/>
      <c r="I481" s="644"/>
      <c r="J481" s="644"/>
      <c r="K481" s="644"/>
      <c r="L481" s="644"/>
      <c r="M481" s="644"/>
      <c r="N481" s="644"/>
      <c r="O481" s="644"/>
      <c r="P481" s="644"/>
    </row>
    <row r="482" spans="4:16" s="364" customFormat="1">
      <c r="D482" s="644"/>
      <c r="E482" s="644"/>
      <c r="F482" s="644"/>
      <c r="G482" s="644"/>
      <c r="H482" s="644"/>
      <c r="I482" s="644"/>
      <c r="J482" s="644"/>
      <c r="K482" s="644"/>
      <c r="L482" s="644"/>
      <c r="M482" s="644"/>
      <c r="N482" s="644"/>
      <c r="O482" s="644"/>
      <c r="P482" s="644"/>
    </row>
    <row r="483" spans="4:16" s="364" customFormat="1">
      <c r="D483" s="644"/>
      <c r="E483" s="644"/>
      <c r="F483" s="644"/>
      <c r="G483" s="644"/>
      <c r="H483" s="644"/>
      <c r="I483" s="644"/>
      <c r="J483" s="644"/>
      <c r="K483" s="644"/>
      <c r="L483" s="644"/>
      <c r="M483" s="644"/>
      <c r="N483" s="644"/>
      <c r="O483" s="644"/>
      <c r="P483" s="644"/>
    </row>
    <row r="484" spans="4:16" s="364" customFormat="1">
      <c r="D484" s="644"/>
      <c r="E484" s="644"/>
      <c r="F484" s="644"/>
      <c r="G484" s="644"/>
      <c r="H484" s="644"/>
      <c r="I484" s="644"/>
      <c r="J484" s="644"/>
      <c r="K484" s="644"/>
      <c r="L484" s="644"/>
      <c r="M484" s="644"/>
      <c r="N484" s="644"/>
      <c r="O484" s="644"/>
      <c r="P484" s="644"/>
    </row>
    <row r="485" spans="4:16" s="364" customFormat="1">
      <c r="D485" s="644"/>
      <c r="E485" s="644"/>
      <c r="F485" s="644"/>
      <c r="G485" s="644"/>
      <c r="H485" s="644"/>
      <c r="I485" s="644"/>
      <c r="J485" s="644"/>
      <c r="K485" s="644"/>
      <c r="L485" s="644"/>
      <c r="M485" s="644"/>
      <c r="N485" s="644"/>
      <c r="O485" s="644"/>
      <c r="P485" s="644"/>
    </row>
    <row r="486" spans="4:16" s="364" customFormat="1">
      <c r="D486" s="644"/>
      <c r="E486" s="644"/>
      <c r="F486" s="644"/>
      <c r="G486" s="644"/>
      <c r="H486" s="644"/>
      <c r="I486" s="644"/>
      <c r="J486" s="644"/>
      <c r="K486" s="644"/>
      <c r="L486" s="644"/>
      <c r="M486" s="644"/>
      <c r="N486" s="644"/>
      <c r="O486" s="644"/>
      <c r="P486" s="644"/>
    </row>
    <row r="487" spans="4:16" s="364" customFormat="1">
      <c r="D487" s="644"/>
      <c r="E487" s="644"/>
      <c r="F487" s="644"/>
      <c r="G487" s="644"/>
      <c r="H487" s="644"/>
      <c r="I487" s="644"/>
      <c r="J487" s="644"/>
      <c r="K487" s="644"/>
      <c r="L487" s="644"/>
      <c r="M487" s="644"/>
      <c r="N487" s="644"/>
      <c r="O487" s="644"/>
      <c r="P487" s="644"/>
    </row>
    <row r="488" spans="4:16" s="364" customFormat="1">
      <c r="D488" s="644"/>
      <c r="E488" s="644"/>
      <c r="F488" s="644"/>
      <c r="G488" s="644"/>
      <c r="H488" s="644"/>
      <c r="I488" s="644"/>
      <c r="J488" s="644"/>
      <c r="K488" s="644"/>
      <c r="L488" s="644"/>
      <c r="M488" s="644"/>
      <c r="N488" s="644"/>
      <c r="O488" s="644"/>
      <c r="P488" s="644"/>
    </row>
    <row r="489" spans="4:16" s="364" customFormat="1">
      <c r="D489" s="644"/>
      <c r="E489" s="644"/>
      <c r="F489" s="644"/>
      <c r="G489" s="644"/>
      <c r="H489" s="644"/>
      <c r="I489" s="644"/>
      <c r="J489" s="644"/>
      <c r="K489" s="644"/>
      <c r="L489" s="644"/>
      <c r="M489" s="644"/>
      <c r="N489" s="644"/>
      <c r="O489" s="644"/>
      <c r="P489" s="644"/>
    </row>
    <row r="490" spans="4:16" s="364" customFormat="1">
      <c r="D490" s="644"/>
      <c r="E490" s="644"/>
      <c r="F490" s="644"/>
      <c r="G490" s="644"/>
      <c r="H490" s="644"/>
      <c r="I490" s="644"/>
      <c r="J490" s="644"/>
      <c r="K490" s="644"/>
      <c r="L490" s="644"/>
      <c r="M490" s="644"/>
      <c r="N490" s="644"/>
      <c r="O490" s="644"/>
      <c r="P490" s="644"/>
    </row>
    <row r="491" spans="4:16" s="364" customFormat="1">
      <c r="D491" s="644"/>
      <c r="E491" s="644"/>
      <c r="F491" s="644"/>
      <c r="G491" s="644"/>
      <c r="H491" s="644"/>
      <c r="I491" s="644"/>
      <c r="J491" s="644"/>
      <c r="K491" s="644"/>
      <c r="L491" s="644"/>
      <c r="M491" s="644"/>
      <c r="N491" s="644"/>
      <c r="O491" s="644"/>
      <c r="P491" s="644"/>
    </row>
    <row r="492" spans="4:16" s="364" customFormat="1">
      <c r="D492" s="644"/>
      <c r="E492" s="644"/>
      <c r="F492" s="644"/>
      <c r="G492" s="644"/>
      <c r="H492" s="644"/>
      <c r="I492" s="644"/>
      <c r="J492" s="644"/>
      <c r="K492" s="644"/>
      <c r="L492" s="644"/>
      <c r="M492" s="644"/>
      <c r="N492" s="644"/>
      <c r="O492" s="644"/>
      <c r="P492" s="644"/>
    </row>
    <row r="493" spans="4:16" s="364" customFormat="1">
      <c r="D493" s="644"/>
      <c r="E493" s="644"/>
      <c r="F493" s="644"/>
      <c r="G493" s="644"/>
      <c r="H493" s="644"/>
      <c r="I493" s="644"/>
      <c r="J493" s="644"/>
      <c r="K493" s="644"/>
      <c r="L493" s="644"/>
      <c r="M493" s="644"/>
      <c r="N493" s="644"/>
      <c r="O493" s="644"/>
      <c r="P493" s="644"/>
    </row>
    <row r="494" spans="4:16" s="364" customFormat="1">
      <c r="D494" s="644"/>
      <c r="E494" s="644"/>
      <c r="F494" s="644"/>
      <c r="G494" s="644"/>
      <c r="H494" s="644"/>
      <c r="I494" s="644"/>
      <c r="J494" s="644"/>
      <c r="K494" s="644"/>
      <c r="L494" s="644"/>
      <c r="M494" s="644"/>
      <c r="N494" s="644"/>
      <c r="O494" s="644"/>
      <c r="P494" s="644"/>
    </row>
    <row r="495" spans="4:16" s="364" customFormat="1">
      <c r="D495" s="644"/>
      <c r="E495" s="644"/>
      <c r="F495" s="644"/>
      <c r="G495" s="644"/>
      <c r="H495" s="644"/>
      <c r="I495" s="644"/>
      <c r="J495" s="644"/>
      <c r="K495" s="644"/>
      <c r="L495" s="644"/>
      <c r="M495" s="644"/>
      <c r="N495" s="644"/>
      <c r="O495" s="644"/>
      <c r="P495" s="644"/>
    </row>
    <row r="496" spans="4:16" s="364" customFormat="1">
      <c r="D496" s="644"/>
      <c r="E496" s="644"/>
      <c r="F496" s="644"/>
      <c r="G496" s="644"/>
      <c r="H496" s="644"/>
      <c r="I496" s="644"/>
      <c r="J496" s="644"/>
      <c r="K496" s="644"/>
      <c r="L496" s="644"/>
      <c r="M496" s="644"/>
      <c r="N496" s="644"/>
      <c r="O496" s="644"/>
      <c r="P496" s="644"/>
    </row>
    <row r="497" spans="4:16" s="364" customFormat="1">
      <c r="D497" s="644"/>
      <c r="E497" s="644"/>
      <c r="F497" s="644"/>
      <c r="G497" s="644"/>
      <c r="H497" s="644"/>
      <c r="I497" s="644"/>
      <c r="J497" s="644"/>
      <c r="K497" s="644"/>
      <c r="L497" s="644"/>
      <c r="M497" s="644"/>
      <c r="N497" s="644"/>
      <c r="O497" s="644"/>
      <c r="P497" s="644"/>
    </row>
    <row r="498" spans="4:16" s="364" customFormat="1">
      <c r="D498" s="644"/>
      <c r="E498" s="644"/>
      <c r="F498" s="644"/>
      <c r="G498" s="644"/>
      <c r="H498" s="644"/>
      <c r="I498" s="644"/>
      <c r="J498" s="644"/>
      <c r="K498" s="644"/>
      <c r="L498" s="644"/>
      <c r="M498" s="644"/>
      <c r="N498" s="644"/>
      <c r="O498" s="644"/>
      <c r="P498" s="644"/>
    </row>
    <row r="499" spans="4:16" s="364" customFormat="1">
      <c r="D499" s="644"/>
      <c r="E499" s="644"/>
      <c r="F499" s="644"/>
      <c r="G499" s="644"/>
      <c r="H499" s="644"/>
      <c r="I499" s="644"/>
      <c r="J499" s="644"/>
      <c r="K499" s="644"/>
      <c r="L499" s="644"/>
      <c r="M499" s="644"/>
      <c r="N499" s="644"/>
      <c r="O499" s="644"/>
      <c r="P499" s="644"/>
    </row>
    <row r="500" spans="4:16" s="364" customFormat="1">
      <c r="D500" s="644"/>
      <c r="E500" s="644"/>
      <c r="F500" s="644"/>
      <c r="G500" s="644"/>
      <c r="H500" s="644"/>
      <c r="I500" s="644"/>
      <c r="J500" s="644"/>
      <c r="K500" s="644"/>
      <c r="L500" s="644"/>
      <c r="M500" s="644"/>
      <c r="N500" s="644"/>
      <c r="O500" s="644"/>
      <c r="P500" s="644"/>
    </row>
    <row r="501" spans="4:16" s="364" customFormat="1">
      <c r="D501" s="644"/>
      <c r="E501" s="644"/>
      <c r="F501" s="644"/>
      <c r="G501" s="644"/>
      <c r="H501" s="644"/>
      <c r="I501" s="644"/>
      <c r="J501" s="644"/>
      <c r="K501" s="644"/>
      <c r="L501" s="644"/>
      <c r="M501" s="644"/>
      <c r="N501" s="644"/>
      <c r="O501" s="644"/>
      <c r="P501" s="644"/>
    </row>
    <row r="502" spans="4:16" s="364" customFormat="1">
      <c r="D502" s="644"/>
      <c r="E502" s="644"/>
      <c r="F502" s="644"/>
      <c r="G502" s="644"/>
      <c r="H502" s="644"/>
      <c r="I502" s="644"/>
      <c r="J502" s="644"/>
      <c r="K502" s="644"/>
      <c r="L502" s="644"/>
      <c r="M502" s="644"/>
      <c r="N502" s="644"/>
      <c r="O502" s="644"/>
      <c r="P502" s="644"/>
    </row>
    <row r="503" spans="4:16" s="364" customFormat="1">
      <c r="D503" s="644"/>
      <c r="E503" s="644"/>
      <c r="F503" s="644"/>
      <c r="G503" s="644"/>
      <c r="H503" s="644"/>
      <c r="I503" s="644"/>
      <c r="J503" s="644"/>
      <c r="K503" s="644"/>
      <c r="L503" s="644"/>
      <c r="M503" s="644"/>
      <c r="N503" s="644"/>
      <c r="O503" s="644"/>
      <c r="P503" s="644"/>
    </row>
    <row r="504" spans="4:16" s="364" customFormat="1">
      <c r="D504" s="644"/>
      <c r="E504" s="644"/>
      <c r="F504" s="644"/>
      <c r="G504" s="644"/>
      <c r="H504" s="644"/>
      <c r="I504" s="644"/>
      <c r="J504" s="644"/>
      <c r="K504" s="644"/>
      <c r="L504" s="644"/>
      <c r="M504" s="644"/>
      <c r="N504" s="644"/>
      <c r="O504" s="644"/>
      <c r="P504" s="644"/>
    </row>
    <row r="505" spans="4:16" s="364" customFormat="1">
      <c r="D505" s="644"/>
      <c r="E505" s="644"/>
      <c r="F505" s="644"/>
      <c r="G505" s="644"/>
      <c r="H505" s="644"/>
      <c r="I505" s="644"/>
      <c r="J505" s="644"/>
      <c r="K505" s="644"/>
      <c r="L505" s="644"/>
      <c r="M505" s="644"/>
      <c r="N505" s="644"/>
      <c r="O505" s="644"/>
      <c r="P505" s="644"/>
    </row>
    <row r="506" spans="4:16" s="364" customFormat="1">
      <c r="D506" s="644"/>
      <c r="E506" s="644"/>
      <c r="F506" s="644"/>
      <c r="G506" s="644"/>
      <c r="H506" s="644"/>
      <c r="I506" s="644"/>
      <c r="J506" s="644"/>
      <c r="K506" s="644"/>
      <c r="L506" s="644"/>
      <c r="M506" s="644"/>
      <c r="N506" s="644"/>
      <c r="O506" s="644"/>
      <c r="P506" s="644"/>
    </row>
    <row r="507" spans="4:16" s="364" customFormat="1">
      <c r="D507" s="644"/>
      <c r="E507" s="644"/>
      <c r="F507" s="644"/>
      <c r="G507" s="644"/>
      <c r="H507" s="644"/>
      <c r="I507" s="644"/>
      <c r="J507" s="644"/>
      <c r="K507" s="644"/>
      <c r="L507" s="644"/>
      <c r="M507" s="644"/>
      <c r="N507" s="644"/>
      <c r="O507" s="644"/>
      <c r="P507" s="644"/>
    </row>
    <row r="508" spans="4:16" s="364" customFormat="1">
      <c r="D508" s="644"/>
      <c r="E508" s="644"/>
      <c r="F508" s="644"/>
      <c r="G508" s="644"/>
      <c r="H508" s="644"/>
      <c r="I508" s="644"/>
      <c r="J508" s="644"/>
      <c r="K508" s="644"/>
      <c r="L508" s="644"/>
      <c r="M508" s="644"/>
      <c r="N508" s="644"/>
      <c r="O508" s="644"/>
      <c r="P508" s="644"/>
    </row>
    <row r="509" spans="4:16" s="364" customFormat="1">
      <c r="D509" s="644"/>
      <c r="E509" s="644"/>
      <c r="F509" s="644"/>
      <c r="G509" s="644"/>
      <c r="H509" s="644"/>
      <c r="I509" s="644"/>
      <c r="J509" s="644"/>
      <c r="K509" s="644"/>
      <c r="L509" s="644"/>
      <c r="M509" s="644"/>
      <c r="N509" s="644"/>
      <c r="O509" s="644"/>
      <c r="P509" s="644"/>
    </row>
    <row r="510" spans="4:16" s="364" customFormat="1">
      <c r="D510" s="644"/>
      <c r="E510" s="644"/>
      <c r="F510" s="644"/>
      <c r="G510" s="644"/>
      <c r="H510" s="644"/>
      <c r="I510" s="644"/>
      <c r="J510" s="644"/>
      <c r="K510" s="644"/>
      <c r="L510" s="644"/>
      <c r="M510" s="644"/>
      <c r="N510" s="644"/>
      <c r="O510" s="644"/>
      <c r="P510" s="644"/>
    </row>
    <row r="511" spans="4:16" s="364" customFormat="1">
      <c r="D511" s="644"/>
      <c r="E511" s="644"/>
      <c r="F511" s="644"/>
      <c r="G511" s="644"/>
      <c r="H511" s="644"/>
      <c r="I511" s="644"/>
      <c r="J511" s="644"/>
      <c r="K511" s="644"/>
      <c r="L511" s="644"/>
      <c r="M511" s="644"/>
      <c r="N511" s="644"/>
      <c r="O511" s="644"/>
      <c r="P511" s="644"/>
    </row>
    <row r="512" spans="4:16" s="364" customFormat="1">
      <c r="D512" s="644"/>
      <c r="E512" s="644"/>
      <c r="F512" s="644"/>
      <c r="G512" s="644"/>
      <c r="H512" s="644"/>
      <c r="I512" s="644"/>
      <c r="J512" s="644"/>
      <c r="K512" s="644"/>
      <c r="L512" s="644"/>
      <c r="M512" s="644"/>
      <c r="N512" s="644"/>
      <c r="O512" s="644"/>
      <c r="P512" s="644"/>
    </row>
    <row r="513" spans="4:16" s="364" customFormat="1">
      <c r="D513" s="644"/>
      <c r="E513" s="644"/>
      <c r="F513" s="644"/>
      <c r="G513" s="644"/>
      <c r="H513" s="644"/>
      <c r="I513" s="644"/>
      <c r="J513" s="644"/>
      <c r="K513" s="644"/>
      <c r="L513" s="644"/>
      <c r="M513" s="644"/>
      <c r="N513" s="644"/>
      <c r="O513" s="644"/>
      <c r="P513" s="644"/>
    </row>
    <row r="514" spans="4:16" s="364" customFormat="1">
      <c r="D514" s="644"/>
      <c r="E514" s="644"/>
      <c r="F514" s="644"/>
      <c r="G514" s="644"/>
      <c r="H514" s="644"/>
      <c r="I514" s="644"/>
      <c r="J514" s="644"/>
      <c r="K514" s="644"/>
      <c r="L514" s="644"/>
      <c r="M514" s="644"/>
      <c r="N514" s="644"/>
      <c r="O514" s="644"/>
      <c r="P514" s="644"/>
    </row>
    <row r="515" spans="4:16" s="364" customFormat="1">
      <c r="D515" s="644"/>
      <c r="E515" s="644"/>
      <c r="F515" s="644"/>
      <c r="G515" s="644"/>
      <c r="H515" s="644"/>
      <c r="I515" s="644"/>
      <c r="J515" s="644"/>
      <c r="K515" s="644"/>
      <c r="L515" s="644"/>
      <c r="M515" s="644"/>
      <c r="N515" s="644"/>
      <c r="O515" s="644"/>
      <c r="P515" s="644"/>
    </row>
    <row r="516" spans="4:16" s="364" customFormat="1">
      <c r="D516" s="644"/>
      <c r="E516" s="644"/>
      <c r="F516" s="644"/>
      <c r="G516" s="644"/>
      <c r="H516" s="644"/>
      <c r="I516" s="644"/>
      <c r="J516" s="644"/>
      <c r="K516" s="644"/>
      <c r="L516" s="644"/>
      <c r="M516" s="644"/>
      <c r="N516" s="644"/>
      <c r="O516" s="644"/>
      <c r="P516" s="644"/>
    </row>
    <row r="517" spans="4:16" s="364" customFormat="1">
      <c r="D517" s="644"/>
      <c r="E517" s="644"/>
      <c r="F517" s="644"/>
      <c r="G517" s="644"/>
      <c r="H517" s="644"/>
      <c r="I517" s="644"/>
      <c r="J517" s="644"/>
      <c r="K517" s="644"/>
      <c r="L517" s="644"/>
      <c r="M517" s="644"/>
      <c r="N517" s="644"/>
      <c r="O517" s="644"/>
      <c r="P517" s="644"/>
    </row>
    <row r="518" spans="4:16" s="364" customFormat="1">
      <c r="D518" s="644"/>
      <c r="E518" s="644"/>
      <c r="F518" s="644"/>
      <c r="G518" s="644"/>
      <c r="H518" s="644"/>
      <c r="I518" s="644"/>
      <c r="J518" s="644"/>
      <c r="K518" s="644"/>
      <c r="L518" s="644"/>
      <c r="M518" s="644"/>
      <c r="N518" s="644"/>
      <c r="O518" s="644"/>
      <c r="P518" s="644"/>
    </row>
    <row r="519" spans="4:16" s="364" customFormat="1">
      <c r="D519" s="644"/>
      <c r="E519" s="644"/>
      <c r="F519" s="644"/>
      <c r="G519" s="644"/>
      <c r="H519" s="644"/>
      <c r="I519" s="644"/>
      <c r="J519" s="644"/>
      <c r="K519" s="644"/>
      <c r="L519" s="644"/>
      <c r="M519" s="644"/>
      <c r="N519" s="644"/>
      <c r="O519" s="644"/>
      <c r="P519" s="644"/>
    </row>
    <row r="520" spans="4:16" s="364" customFormat="1">
      <c r="D520" s="644"/>
      <c r="E520" s="644"/>
      <c r="F520" s="644"/>
      <c r="G520" s="644"/>
      <c r="H520" s="644"/>
      <c r="I520" s="644"/>
      <c r="J520" s="644"/>
      <c r="K520" s="644"/>
      <c r="L520" s="644"/>
      <c r="M520" s="644"/>
      <c r="N520" s="644"/>
      <c r="O520" s="644"/>
      <c r="P520" s="644"/>
    </row>
    <row r="521" spans="4:16" s="364" customFormat="1">
      <c r="D521" s="644"/>
      <c r="E521" s="644"/>
      <c r="F521" s="644"/>
      <c r="G521" s="644"/>
      <c r="H521" s="644"/>
      <c r="I521" s="644"/>
      <c r="J521" s="644"/>
      <c r="K521" s="644"/>
      <c r="L521" s="644"/>
      <c r="M521" s="644"/>
      <c r="N521" s="644"/>
      <c r="O521" s="644"/>
      <c r="P521" s="644"/>
    </row>
    <row r="522" spans="4:16" s="364" customFormat="1">
      <c r="D522" s="644"/>
      <c r="E522" s="644"/>
      <c r="F522" s="644"/>
      <c r="G522" s="644"/>
      <c r="H522" s="644"/>
      <c r="I522" s="644"/>
      <c r="J522" s="644"/>
      <c r="K522" s="644"/>
      <c r="L522" s="644"/>
      <c r="M522" s="644"/>
      <c r="N522" s="644"/>
      <c r="O522" s="644"/>
      <c r="P522" s="644"/>
    </row>
    <row r="523" spans="4:16" s="364" customFormat="1">
      <c r="D523" s="644"/>
      <c r="E523" s="644"/>
      <c r="F523" s="644"/>
      <c r="G523" s="644"/>
      <c r="H523" s="644"/>
      <c r="I523" s="644"/>
      <c r="J523" s="644"/>
      <c r="K523" s="644"/>
      <c r="L523" s="644"/>
      <c r="M523" s="644"/>
      <c r="N523" s="644"/>
      <c r="O523" s="644"/>
      <c r="P523" s="644"/>
    </row>
    <row r="524" spans="4:16" s="364" customFormat="1">
      <c r="D524" s="644"/>
      <c r="E524" s="644"/>
      <c r="F524" s="644"/>
      <c r="G524" s="644"/>
      <c r="H524" s="644"/>
      <c r="I524" s="644"/>
      <c r="J524" s="644"/>
      <c r="K524" s="644"/>
      <c r="L524" s="644"/>
      <c r="M524" s="644"/>
      <c r="N524" s="644"/>
      <c r="O524" s="644"/>
      <c r="P524" s="644"/>
    </row>
    <row r="525" spans="4:16" s="364" customFormat="1">
      <c r="D525" s="644"/>
      <c r="E525" s="644"/>
      <c r="F525" s="644"/>
      <c r="G525" s="644"/>
      <c r="H525" s="644"/>
      <c r="I525" s="644"/>
      <c r="J525" s="644"/>
      <c r="K525" s="644"/>
      <c r="L525" s="644"/>
      <c r="M525" s="644"/>
      <c r="N525" s="644"/>
      <c r="O525" s="644"/>
      <c r="P525" s="644"/>
    </row>
    <row r="526" spans="4:16" s="364" customFormat="1">
      <c r="D526" s="644"/>
      <c r="E526" s="644"/>
      <c r="F526" s="644"/>
      <c r="G526" s="644"/>
      <c r="H526" s="644"/>
      <c r="I526" s="644"/>
      <c r="J526" s="644"/>
      <c r="K526" s="644"/>
      <c r="L526" s="644"/>
      <c r="M526" s="644"/>
      <c r="N526" s="644"/>
      <c r="O526" s="644"/>
      <c r="P526" s="644"/>
    </row>
    <row r="527" spans="4:16" s="364" customFormat="1">
      <c r="D527" s="644"/>
      <c r="E527" s="644"/>
      <c r="F527" s="644"/>
      <c r="G527" s="644"/>
      <c r="H527" s="644"/>
      <c r="I527" s="644"/>
      <c r="J527" s="644"/>
      <c r="K527" s="644"/>
      <c r="L527" s="644"/>
      <c r="M527" s="644"/>
      <c r="N527" s="644"/>
      <c r="O527" s="644"/>
      <c r="P527" s="644"/>
    </row>
    <row r="528" spans="4:16" s="364" customFormat="1">
      <c r="D528" s="644"/>
      <c r="E528" s="644"/>
      <c r="F528" s="644"/>
      <c r="G528" s="644"/>
      <c r="H528" s="644"/>
      <c r="I528" s="644"/>
      <c r="J528" s="644"/>
      <c r="K528" s="644"/>
      <c r="L528" s="644"/>
      <c r="M528" s="644"/>
      <c r="N528" s="644"/>
      <c r="O528" s="644"/>
      <c r="P528" s="644"/>
    </row>
    <row r="529" spans="4:16" s="364" customFormat="1">
      <c r="D529" s="644"/>
      <c r="E529" s="644"/>
      <c r="F529" s="644"/>
      <c r="G529" s="644"/>
      <c r="H529" s="644"/>
      <c r="I529" s="644"/>
      <c r="J529" s="644"/>
      <c r="K529" s="644"/>
      <c r="L529" s="644"/>
      <c r="M529" s="644"/>
      <c r="N529" s="644"/>
      <c r="O529" s="644"/>
      <c r="P529" s="644"/>
    </row>
    <row r="530" spans="4:16" s="364" customFormat="1">
      <c r="D530" s="644"/>
      <c r="E530" s="644"/>
      <c r="F530" s="644"/>
      <c r="G530" s="644"/>
      <c r="H530" s="644"/>
      <c r="I530" s="644"/>
      <c r="J530" s="644"/>
      <c r="K530" s="644"/>
      <c r="L530" s="644"/>
      <c r="M530" s="644"/>
      <c r="N530" s="644"/>
      <c r="O530" s="644"/>
      <c r="P530" s="644"/>
    </row>
    <row r="531" spans="4:16" s="364" customFormat="1">
      <c r="D531" s="644"/>
      <c r="E531" s="644"/>
      <c r="F531" s="644"/>
      <c r="G531" s="644"/>
      <c r="H531" s="644"/>
      <c r="I531" s="644"/>
      <c r="J531" s="644"/>
      <c r="K531" s="644"/>
      <c r="L531" s="644"/>
      <c r="M531" s="644"/>
      <c r="N531" s="644"/>
      <c r="O531" s="644"/>
      <c r="P531" s="644"/>
    </row>
    <row r="532" spans="4:16" s="364" customFormat="1">
      <c r="D532" s="644"/>
      <c r="E532" s="644"/>
      <c r="F532" s="644"/>
      <c r="G532" s="644"/>
      <c r="H532" s="644"/>
      <c r="I532" s="644"/>
      <c r="J532" s="644"/>
      <c r="K532" s="644"/>
      <c r="L532" s="644"/>
      <c r="M532" s="644"/>
      <c r="N532" s="644"/>
      <c r="O532" s="644"/>
      <c r="P532" s="644"/>
    </row>
    <row r="533" spans="4:16" s="364" customFormat="1">
      <c r="D533" s="644"/>
      <c r="E533" s="644"/>
      <c r="F533" s="644"/>
      <c r="G533" s="644"/>
      <c r="H533" s="644"/>
      <c r="I533" s="644"/>
      <c r="J533" s="644"/>
      <c r="K533" s="644"/>
      <c r="L533" s="644"/>
      <c r="M533" s="644"/>
      <c r="N533" s="644"/>
      <c r="O533" s="644"/>
      <c r="P533" s="644"/>
    </row>
    <row r="534" spans="4:16" s="364" customFormat="1">
      <c r="D534" s="644"/>
      <c r="E534" s="644"/>
      <c r="F534" s="644"/>
      <c r="G534" s="644"/>
      <c r="H534" s="644"/>
      <c r="I534" s="644"/>
      <c r="J534" s="644"/>
      <c r="K534" s="644"/>
      <c r="L534" s="644"/>
      <c r="M534" s="644"/>
      <c r="N534" s="644"/>
      <c r="O534" s="644"/>
      <c r="P534" s="644"/>
    </row>
    <row r="535" spans="4:16" s="364" customFormat="1">
      <c r="D535" s="644"/>
      <c r="E535" s="644"/>
      <c r="F535" s="644"/>
      <c r="G535" s="644"/>
      <c r="H535" s="644"/>
      <c r="I535" s="644"/>
      <c r="J535" s="644"/>
      <c r="K535" s="644"/>
      <c r="L535" s="644"/>
      <c r="M535" s="644"/>
      <c r="N535" s="644"/>
      <c r="O535" s="644"/>
      <c r="P535" s="644"/>
    </row>
    <row r="536" spans="4:16" s="364" customFormat="1">
      <c r="D536" s="644"/>
      <c r="E536" s="644"/>
      <c r="F536" s="644"/>
      <c r="G536" s="644"/>
      <c r="H536" s="644"/>
      <c r="I536" s="644"/>
      <c r="J536" s="644"/>
      <c r="K536" s="644"/>
      <c r="L536" s="644"/>
      <c r="M536" s="644"/>
      <c r="N536" s="644"/>
      <c r="O536" s="644"/>
      <c r="P536" s="644"/>
    </row>
    <row r="537" spans="4:16" s="364" customFormat="1">
      <c r="D537" s="644"/>
      <c r="E537" s="644"/>
      <c r="F537" s="644"/>
      <c r="G537" s="644"/>
      <c r="H537" s="644"/>
      <c r="I537" s="644"/>
      <c r="J537" s="644"/>
      <c r="K537" s="644"/>
      <c r="L537" s="644"/>
      <c r="M537" s="644"/>
      <c r="N537" s="644"/>
      <c r="O537" s="644"/>
      <c r="P537" s="644"/>
    </row>
    <row r="538" spans="4:16" s="364" customFormat="1">
      <c r="D538" s="644"/>
      <c r="E538" s="644"/>
      <c r="F538" s="644"/>
      <c r="G538" s="644"/>
      <c r="H538" s="644"/>
      <c r="I538" s="644"/>
      <c r="J538" s="644"/>
      <c r="K538" s="644"/>
      <c r="L538" s="644"/>
      <c r="M538" s="644"/>
      <c r="N538" s="644"/>
      <c r="O538" s="644"/>
      <c r="P538" s="644"/>
    </row>
    <row r="539" spans="4:16" s="364" customFormat="1">
      <c r="D539" s="644"/>
      <c r="E539" s="644"/>
      <c r="F539" s="644"/>
      <c r="G539" s="644"/>
      <c r="H539" s="644"/>
      <c r="I539" s="644"/>
      <c r="J539" s="644"/>
      <c r="K539" s="644"/>
      <c r="L539" s="644"/>
      <c r="M539" s="644"/>
      <c r="N539" s="644"/>
      <c r="O539" s="644"/>
      <c r="P539" s="644"/>
    </row>
    <row r="540" spans="4:16" s="364" customFormat="1">
      <c r="D540" s="644"/>
      <c r="E540" s="644"/>
      <c r="F540" s="644"/>
      <c r="G540" s="644"/>
      <c r="H540" s="644"/>
      <c r="I540" s="644"/>
      <c r="J540" s="644"/>
      <c r="K540" s="644"/>
      <c r="L540" s="644"/>
      <c r="M540" s="644"/>
      <c r="N540" s="644"/>
      <c r="O540" s="644"/>
      <c r="P540" s="644"/>
    </row>
    <row r="541" spans="4:16" s="364" customFormat="1">
      <c r="D541" s="644"/>
      <c r="E541" s="644"/>
      <c r="F541" s="644"/>
      <c r="G541" s="644"/>
      <c r="H541" s="644"/>
      <c r="I541" s="644"/>
      <c r="J541" s="644"/>
      <c r="K541" s="644"/>
      <c r="L541" s="644"/>
      <c r="M541" s="644"/>
      <c r="N541" s="644"/>
      <c r="O541" s="644"/>
      <c r="P541" s="644"/>
    </row>
    <row r="542" spans="4:16" s="364" customFormat="1">
      <c r="D542" s="644"/>
      <c r="E542" s="644"/>
      <c r="F542" s="644"/>
      <c r="G542" s="644"/>
      <c r="H542" s="644"/>
      <c r="I542" s="644"/>
      <c r="J542" s="644"/>
      <c r="K542" s="644"/>
      <c r="L542" s="644"/>
      <c r="M542" s="644"/>
      <c r="N542" s="644"/>
      <c r="O542" s="644"/>
      <c r="P542" s="644"/>
    </row>
    <row r="543" spans="4:16" s="364" customFormat="1">
      <c r="D543" s="644"/>
      <c r="E543" s="644"/>
      <c r="F543" s="644"/>
      <c r="G543" s="644"/>
      <c r="H543" s="644"/>
      <c r="I543" s="644"/>
      <c r="J543" s="644"/>
      <c r="K543" s="644"/>
      <c r="L543" s="644"/>
      <c r="M543" s="644"/>
      <c r="N543" s="644"/>
      <c r="O543" s="644"/>
      <c r="P543" s="644"/>
    </row>
    <row r="544" spans="4:16" s="364" customFormat="1">
      <c r="D544" s="644"/>
      <c r="E544" s="644"/>
      <c r="F544" s="644"/>
      <c r="G544" s="644"/>
      <c r="H544" s="644"/>
      <c r="I544" s="644"/>
      <c r="J544" s="644"/>
      <c r="K544" s="644"/>
      <c r="L544" s="644"/>
      <c r="M544" s="644"/>
      <c r="N544" s="644"/>
      <c r="O544" s="644"/>
      <c r="P544" s="644"/>
    </row>
    <row r="545" spans="4:16" s="364" customFormat="1">
      <c r="D545" s="644"/>
      <c r="E545" s="644"/>
      <c r="F545" s="644"/>
      <c r="G545" s="644"/>
      <c r="H545" s="644"/>
      <c r="I545" s="644"/>
      <c r="J545" s="644"/>
      <c r="K545" s="644"/>
      <c r="L545" s="644"/>
      <c r="M545" s="644"/>
      <c r="N545" s="644"/>
      <c r="O545" s="644"/>
      <c r="P545" s="644"/>
    </row>
    <row r="546" spans="4:16" s="364" customFormat="1">
      <c r="D546" s="644"/>
      <c r="E546" s="644"/>
      <c r="F546" s="644"/>
      <c r="G546" s="644"/>
      <c r="H546" s="644"/>
      <c r="I546" s="644"/>
      <c r="J546" s="644"/>
      <c r="K546" s="644"/>
      <c r="L546" s="644"/>
      <c r="M546" s="644"/>
      <c r="N546" s="644"/>
      <c r="O546" s="644"/>
      <c r="P546" s="644"/>
    </row>
    <row r="547" spans="4:16" s="364" customFormat="1">
      <c r="D547" s="644"/>
      <c r="E547" s="644"/>
      <c r="F547" s="644"/>
      <c r="G547" s="644"/>
      <c r="H547" s="644"/>
      <c r="I547" s="644"/>
      <c r="J547" s="644"/>
      <c r="K547" s="644"/>
      <c r="L547" s="644"/>
      <c r="M547" s="644"/>
      <c r="N547" s="644"/>
      <c r="O547" s="644"/>
      <c r="P547" s="644"/>
    </row>
    <row r="548" spans="4:16" s="364" customFormat="1">
      <c r="D548" s="644"/>
      <c r="E548" s="644"/>
      <c r="F548" s="644"/>
      <c r="G548" s="644"/>
      <c r="H548" s="644"/>
      <c r="I548" s="644"/>
      <c r="J548" s="644"/>
      <c r="K548" s="644"/>
      <c r="L548" s="644"/>
      <c r="M548" s="644"/>
      <c r="N548" s="644"/>
      <c r="O548" s="644"/>
      <c r="P548" s="644"/>
    </row>
    <row r="549" spans="4:16" s="364" customFormat="1">
      <c r="D549" s="644"/>
      <c r="E549" s="644"/>
      <c r="F549" s="644"/>
      <c r="G549" s="644"/>
      <c r="H549" s="644"/>
      <c r="I549" s="644"/>
      <c r="J549" s="644"/>
      <c r="K549" s="644"/>
      <c r="L549" s="644"/>
      <c r="M549" s="644"/>
      <c r="N549" s="644"/>
      <c r="O549" s="644"/>
      <c r="P549" s="644"/>
    </row>
    <row r="550" spans="4:16" s="364" customFormat="1">
      <c r="D550" s="644"/>
      <c r="E550" s="644"/>
      <c r="F550" s="644"/>
      <c r="G550" s="644"/>
      <c r="H550" s="644"/>
      <c r="I550" s="644"/>
      <c r="J550" s="644"/>
      <c r="K550" s="644"/>
      <c r="L550" s="644"/>
      <c r="M550" s="644"/>
      <c r="N550" s="644"/>
      <c r="O550" s="644"/>
      <c r="P550" s="644"/>
    </row>
    <row r="551" spans="4:16" s="364" customFormat="1">
      <c r="D551" s="644"/>
      <c r="E551" s="644"/>
      <c r="F551" s="644"/>
      <c r="G551" s="644"/>
      <c r="H551" s="644"/>
      <c r="I551" s="644"/>
      <c r="J551" s="644"/>
      <c r="K551" s="644"/>
      <c r="L551" s="644"/>
      <c r="M551" s="644"/>
      <c r="N551" s="644"/>
      <c r="O551" s="644"/>
      <c r="P551" s="644"/>
    </row>
    <row r="552" spans="4:16" s="364" customFormat="1">
      <c r="D552" s="644"/>
      <c r="E552" s="644"/>
      <c r="F552" s="644"/>
      <c r="G552" s="644"/>
      <c r="H552" s="644"/>
      <c r="I552" s="644"/>
      <c r="J552" s="644"/>
      <c r="K552" s="644"/>
      <c r="L552" s="644"/>
      <c r="M552" s="644"/>
      <c r="N552" s="644"/>
      <c r="O552" s="644"/>
      <c r="P552" s="644"/>
    </row>
    <row r="553" spans="4:16" s="364" customFormat="1">
      <c r="D553" s="644"/>
      <c r="E553" s="644"/>
      <c r="F553" s="644"/>
      <c r="G553" s="644"/>
      <c r="H553" s="644"/>
      <c r="I553" s="644"/>
      <c r="J553" s="644"/>
      <c r="K553" s="644"/>
      <c r="L553" s="644"/>
      <c r="M553" s="644"/>
      <c r="N553" s="644"/>
      <c r="O553" s="644"/>
      <c r="P553" s="644"/>
    </row>
    <row r="554" spans="4:16" s="364" customFormat="1">
      <c r="D554" s="644"/>
      <c r="E554" s="644"/>
      <c r="F554" s="644"/>
      <c r="G554" s="644"/>
      <c r="H554" s="644"/>
      <c r="I554" s="644"/>
      <c r="J554" s="644"/>
      <c r="K554" s="644"/>
      <c r="L554" s="644"/>
      <c r="M554" s="644"/>
      <c r="N554" s="644"/>
      <c r="O554" s="644"/>
      <c r="P554" s="644"/>
    </row>
    <row r="555" spans="4:16" s="364" customFormat="1">
      <c r="D555" s="644"/>
      <c r="E555" s="644"/>
      <c r="F555" s="644"/>
      <c r="G555" s="644"/>
      <c r="H555" s="644"/>
      <c r="I555" s="644"/>
      <c r="J555" s="644"/>
      <c r="K555" s="644"/>
      <c r="L555" s="644"/>
      <c r="M555" s="644"/>
      <c r="N555" s="644"/>
      <c r="O555" s="644"/>
      <c r="P555" s="644"/>
    </row>
    <row r="556" spans="4:16" s="364" customFormat="1">
      <c r="D556" s="644"/>
      <c r="E556" s="644"/>
      <c r="F556" s="644"/>
      <c r="G556" s="644"/>
      <c r="H556" s="644"/>
      <c r="I556" s="644"/>
      <c r="J556" s="644"/>
      <c r="K556" s="644"/>
      <c r="L556" s="644"/>
      <c r="M556" s="644"/>
      <c r="N556" s="644"/>
      <c r="O556" s="644"/>
      <c r="P556" s="644"/>
    </row>
    <row r="557" spans="4:16" s="364" customFormat="1">
      <c r="D557" s="644"/>
      <c r="E557" s="644"/>
      <c r="F557" s="644"/>
      <c r="G557" s="644"/>
      <c r="H557" s="644"/>
      <c r="I557" s="644"/>
      <c r="J557" s="644"/>
      <c r="K557" s="644"/>
      <c r="L557" s="644"/>
      <c r="M557" s="644"/>
      <c r="N557" s="644"/>
      <c r="O557" s="644"/>
      <c r="P557" s="644"/>
    </row>
    <row r="558" spans="4:16" s="364" customFormat="1">
      <c r="D558" s="644"/>
      <c r="E558" s="644"/>
      <c r="F558" s="644"/>
      <c r="G558" s="644"/>
      <c r="H558" s="644"/>
      <c r="I558" s="644"/>
      <c r="J558" s="644"/>
      <c r="K558" s="644"/>
      <c r="L558" s="644"/>
      <c r="M558" s="644"/>
      <c r="N558" s="644"/>
      <c r="O558" s="644"/>
      <c r="P558" s="644"/>
    </row>
    <row r="559" spans="4:16" s="364" customFormat="1">
      <c r="D559" s="644"/>
      <c r="E559" s="644"/>
      <c r="F559" s="644"/>
      <c r="G559" s="644"/>
      <c r="H559" s="644"/>
      <c r="I559" s="644"/>
      <c r="J559" s="644"/>
      <c r="K559" s="644"/>
      <c r="L559" s="644"/>
      <c r="M559" s="644"/>
      <c r="N559" s="644"/>
      <c r="O559" s="644"/>
      <c r="P559" s="644"/>
    </row>
    <row r="560" spans="4:16" s="364" customFormat="1">
      <c r="D560" s="644"/>
      <c r="E560" s="644"/>
      <c r="F560" s="644"/>
      <c r="G560" s="644"/>
      <c r="H560" s="644"/>
      <c r="I560" s="644"/>
      <c r="J560" s="644"/>
      <c r="K560" s="644"/>
      <c r="L560" s="644"/>
      <c r="M560" s="644"/>
      <c r="N560" s="644"/>
      <c r="O560" s="644"/>
      <c r="P560" s="644"/>
    </row>
    <row r="561" spans="4:16" s="364" customFormat="1">
      <c r="D561" s="644"/>
      <c r="E561" s="644"/>
      <c r="F561" s="644"/>
      <c r="G561" s="644"/>
      <c r="H561" s="644"/>
      <c r="I561" s="644"/>
      <c r="J561" s="644"/>
      <c r="K561" s="644"/>
      <c r="L561" s="644"/>
      <c r="M561" s="644"/>
      <c r="N561" s="644"/>
      <c r="O561" s="644"/>
      <c r="P561" s="644"/>
    </row>
    <row r="562" spans="4:16" s="364" customFormat="1">
      <c r="D562" s="644"/>
      <c r="E562" s="644"/>
      <c r="F562" s="644"/>
      <c r="G562" s="644"/>
      <c r="H562" s="644"/>
      <c r="I562" s="644"/>
      <c r="J562" s="644"/>
      <c r="K562" s="644"/>
      <c r="L562" s="644"/>
      <c r="M562" s="644"/>
      <c r="N562" s="644"/>
      <c r="O562" s="644"/>
      <c r="P562" s="644"/>
    </row>
    <row r="563" spans="4:16" s="364" customFormat="1">
      <c r="D563" s="644"/>
      <c r="E563" s="644"/>
      <c r="F563" s="644"/>
      <c r="G563" s="644"/>
      <c r="H563" s="644"/>
      <c r="I563" s="644"/>
      <c r="J563" s="644"/>
      <c r="K563" s="644"/>
      <c r="L563" s="644"/>
      <c r="M563" s="644"/>
      <c r="N563" s="644"/>
      <c r="O563" s="644"/>
      <c r="P563" s="644"/>
    </row>
    <row r="564" spans="4:16" s="364" customFormat="1">
      <c r="D564" s="644"/>
      <c r="E564" s="644"/>
      <c r="F564" s="644"/>
      <c r="G564" s="644"/>
      <c r="H564" s="644"/>
      <c r="I564" s="644"/>
      <c r="J564" s="644"/>
      <c r="K564" s="644"/>
      <c r="L564" s="644"/>
      <c r="M564" s="644"/>
      <c r="N564" s="644"/>
      <c r="O564" s="644"/>
      <c r="P564" s="644"/>
    </row>
    <row r="565" spans="4:16" s="364" customFormat="1">
      <c r="D565" s="644"/>
      <c r="E565" s="644"/>
      <c r="F565" s="644"/>
      <c r="G565" s="644"/>
      <c r="H565" s="644"/>
      <c r="I565" s="644"/>
      <c r="J565" s="644"/>
      <c r="K565" s="644"/>
      <c r="L565" s="644"/>
      <c r="M565" s="644"/>
      <c r="N565" s="644"/>
      <c r="O565" s="644"/>
      <c r="P565" s="644"/>
    </row>
    <row r="566" spans="4:16" s="364" customFormat="1">
      <c r="D566" s="644"/>
      <c r="E566" s="644"/>
      <c r="F566" s="644"/>
      <c r="G566" s="644"/>
      <c r="H566" s="644"/>
      <c r="I566" s="644"/>
      <c r="J566" s="644"/>
      <c r="K566" s="644"/>
      <c r="L566" s="644"/>
      <c r="M566" s="644"/>
      <c r="N566" s="644"/>
      <c r="O566" s="644"/>
      <c r="P566" s="644"/>
    </row>
    <row r="567" spans="4:16" s="364" customFormat="1">
      <c r="D567" s="644"/>
      <c r="E567" s="644"/>
      <c r="F567" s="644"/>
      <c r="G567" s="644"/>
      <c r="H567" s="644"/>
      <c r="I567" s="644"/>
      <c r="J567" s="644"/>
      <c r="K567" s="644"/>
      <c r="L567" s="644"/>
      <c r="M567" s="644"/>
      <c r="N567" s="644"/>
      <c r="O567" s="644"/>
      <c r="P567" s="644"/>
    </row>
    <row r="568" spans="4:16" s="364" customFormat="1">
      <c r="D568" s="644"/>
      <c r="E568" s="644"/>
      <c r="F568" s="644"/>
      <c r="G568" s="644"/>
      <c r="H568" s="644"/>
      <c r="I568" s="644"/>
      <c r="J568" s="644"/>
      <c r="K568" s="644"/>
      <c r="L568" s="644"/>
      <c r="M568" s="644"/>
      <c r="N568" s="644"/>
      <c r="O568" s="644"/>
      <c r="P568" s="644"/>
    </row>
    <row r="569" spans="4:16" s="364" customFormat="1">
      <c r="D569" s="644"/>
      <c r="E569" s="644"/>
      <c r="F569" s="644"/>
      <c r="G569" s="644"/>
      <c r="H569" s="644"/>
      <c r="I569" s="644"/>
      <c r="J569" s="644"/>
      <c r="K569" s="644"/>
      <c r="L569" s="644"/>
      <c r="M569" s="644"/>
      <c r="N569" s="644"/>
      <c r="O569" s="644"/>
      <c r="P569" s="644"/>
    </row>
    <row r="570" spans="4:16" s="364" customFormat="1">
      <c r="D570" s="644"/>
      <c r="E570" s="644"/>
      <c r="F570" s="644"/>
      <c r="G570" s="644"/>
      <c r="H570" s="644"/>
      <c r="I570" s="644"/>
      <c r="J570" s="644"/>
      <c r="K570" s="644"/>
      <c r="L570" s="644"/>
      <c r="M570" s="644"/>
      <c r="N570" s="644"/>
      <c r="O570" s="644"/>
      <c r="P570" s="644"/>
    </row>
    <row r="571" spans="4:16" s="364" customFormat="1">
      <c r="D571" s="644"/>
      <c r="E571" s="644"/>
      <c r="F571" s="644"/>
      <c r="G571" s="644"/>
      <c r="H571" s="644"/>
      <c r="I571" s="644"/>
      <c r="J571" s="644"/>
      <c r="K571" s="644"/>
      <c r="L571" s="644"/>
      <c r="M571" s="644"/>
      <c r="N571" s="644"/>
      <c r="O571" s="644"/>
      <c r="P571" s="644"/>
    </row>
    <row r="572" spans="4:16" s="364" customFormat="1">
      <c r="D572" s="644"/>
      <c r="E572" s="644"/>
      <c r="F572" s="644"/>
      <c r="G572" s="644"/>
      <c r="H572" s="644"/>
      <c r="I572" s="644"/>
      <c r="J572" s="644"/>
      <c r="K572" s="644"/>
      <c r="L572" s="644"/>
      <c r="M572" s="644"/>
      <c r="N572" s="644"/>
      <c r="O572" s="644"/>
      <c r="P572" s="644"/>
    </row>
    <row r="573" spans="4:16" s="364" customFormat="1">
      <c r="D573" s="644"/>
      <c r="E573" s="644"/>
      <c r="F573" s="644"/>
      <c r="G573" s="644"/>
      <c r="H573" s="644"/>
      <c r="I573" s="644"/>
      <c r="J573" s="644"/>
      <c r="K573" s="644"/>
      <c r="L573" s="644"/>
      <c r="M573" s="644"/>
      <c r="N573" s="644"/>
      <c r="O573" s="644"/>
      <c r="P573" s="644"/>
    </row>
    <row r="574" spans="4:16" s="364" customFormat="1">
      <c r="D574" s="644"/>
      <c r="E574" s="644"/>
      <c r="F574" s="644"/>
      <c r="G574" s="644"/>
      <c r="H574" s="644"/>
      <c r="I574" s="644"/>
      <c r="J574" s="644"/>
      <c r="K574" s="644"/>
      <c r="L574" s="644"/>
      <c r="M574" s="644"/>
      <c r="N574" s="644"/>
      <c r="O574" s="644"/>
      <c r="P574" s="644"/>
    </row>
    <row r="575" spans="4:16" s="364" customFormat="1">
      <c r="D575" s="644"/>
      <c r="E575" s="644"/>
      <c r="F575" s="644"/>
      <c r="G575" s="644"/>
      <c r="H575" s="644"/>
      <c r="I575" s="644"/>
      <c r="J575" s="644"/>
      <c r="K575" s="644"/>
      <c r="L575" s="644"/>
      <c r="M575" s="644"/>
      <c r="N575" s="644"/>
      <c r="O575" s="644"/>
      <c r="P575" s="644"/>
    </row>
    <row r="576" spans="4:16" s="364" customFormat="1">
      <c r="D576" s="644"/>
      <c r="E576" s="644"/>
      <c r="F576" s="644"/>
      <c r="G576" s="644"/>
      <c r="H576" s="644"/>
      <c r="I576" s="644"/>
      <c r="J576" s="644"/>
      <c r="K576" s="644"/>
      <c r="L576" s="644"/>
      <c r="M576" s="644"/>
      <c r="N576" s="644"/>
      <c r="O576" s="644"/>
      <c r="P576" s="644"/>
    </row>
    <row r="577" spans="4:16" s="364" customFormat="1">
      <c r="D577" s="644"/>
      <c r="E577" s="644"/>
      <c r="F577" s="644"/>
      <c r="G577" s="644"/>
      <c r="H577" s="644"/>
      <c r="I577" s="644"/>
      <c r="J577" s="644"/>
      <c r="K577" s="644"/>
      <c r="L577" s="644"/>
      <c r="M577" s="644"/>
      <c r="N577" s="644"/>
      <c r="O577" s="644"/>
      <c r="P577" s="644"/>
    </row>
    <row r="578" spans="4:16" s="364" customFormat="1">
      <c r="D578" s="644"/>
      <c r="E578" s="644"/>
      <c r="F578" s="644"/>
      <c r="G578" s="644"/>
      <c r="H578" s="644"/>
      <c r="I578" s="644"/>
      <c r="J578" s="644"/>
      <c r="K578" s="644"/>
      <c r="L578" s="644"/>
      <c r="M578" s="644"/>
      <c r="N578" s="644"/>
      <c r="O578" s="644"/>
      <c r="P578" s="644"/>
    </row>
    <row r="579" spans="4:16" s="364" customFormat="1">
      <c r="D579" s="644"/>
      <c r="E579" s="644"/>
      <c r="F579" s="644"/>
      <c r="G579" s="644"/>
      <c r="H579" s="644"/>
      <c r="I579" s="644"/>
      <c r="J579" s="644"/>
      <c r="K579" s="644"/>
      <c r="L579" s="644"/>
      <c r="M579" s="644"/>
      <c r="N579" s="644"/>
      <c r="O579" s="644"/>
      <c r="P579" s="644"/>
    </row>
    <row r="580" spans="4:16" s="364" customFormat="1">
      <c r="D580" s="644"/>
      <c r="E580" s="644"/>
      <c r="F580" s="644"/>
      <c r="G580" s="644"/>
      <c r="H580" s="644"/>
      <c r="I580" s="644"/>
      <c r="J580" s="644"/>
      <c r="K580" s="644"/>
      <c r="L580" s="644"/>
      <c r="M580" s="644"/>
      <c r="N580" s="644"/>
      <c r="O580" s="644"/>
      <c r="P580" s="644"/>
    </row>
    <row r="581" spans="4:16" s="364" customFormat="1">
      <c r="D581" s="644"/>
      <c r="E581" s="644"/>
      <c r="F581" s="644"/>
      <c r="G581" s="644"/>
      <c r="H581" s="644"/>
      <c r="I581" s="644"/>
      <c r="J581" s="644"/>
      <c r="K581" s="644"/>
      <c r="L581" s="644"/>
      <c r="M581" s="644"/>
      <c r="N581" s="644"/>
      <c r="O581" s="644"/>
      <c r="P581" s="644"/>
    </row>
    <row r="582" spans="4:16" s="364" customFormat="1">
      <c r="D582" s="644"/>
      <c r="E582" s="644"/>
      <c r="F582" s="644"/>
      <c r="G582" s="644"/>
      <c r="H582" s="644"/>
      <c r="I582" s="644"/>
      <c r="J582" s="644"/>
      <c r="K582" s="644"/>
      <c r="L582" s="644"/>
      <c r="M582" s="644"/>
      <c r="N582" s="644"/>
      <c r="O582" s="644"/>
      <c r="P582" s="644"/>
    </row>
    <row r="583" spans="4:16" s="364" customFormat="1">
      <c r="D583" s="644"/>
      <c r="E583" s="644"/>
      <c r="F583" s="644"/>
      <c r="G583" s="644"/>
      <c r="H583" s="644"/>
      <c r="I583" s="644"/>
      <c r="J583" s="644"/>
      <c r="K583" s="644"/>
      <c r="L583" s="644"/>
      <c r="M583" s="644"/>
      <c r="N583" s="644"/>
      <c r="O583" s="644"/>
      <c r="P583" s="644"/>
    </row>
    <row r="584" spans="4:16" s="364" customFormat="1">
      <c r="D584" s="644"/>
      <c r="E584" s="644"/>
      <c r="F584" s="644"/>
      <c r="G584" s="644"/>
      <c r="H584" s="644"/>
      <c r="I584" s="644"/>
      <c r="J584" s="644"/>
      <c r="K584" s="644"/>
      <c r="L584" s="644"/>
      <c r="M584" s="644"/>
      <c r="N584" s="644"/>
      <c r="O584" s="644"/>
      <c r="P584" s="644"/>
    </row>
    <row r="585" spans="4:16" s="364" customFormat="1">
      <c r="D585" s="644"/>
      <c r="E585" s="644"/>
      <c r="F585" s="644"/>
      <c r="G585" s="644"/>
      <c r="H585" s="644"/>
      <c r="I585" s="644"/>
      <c r="J585" s="644"/>
      <c r="K585" s="644"/>
      <c r="L585" s="644"/>
      <c r="M585" s="644"/>
      <c r="N585" s="644"/>
      <c r="O585" s="644"/>
      <c r="P585" s="644"/>
    </row>
    <row r="586" spans="4:16" s="364" customFormat="1">
      <c r="D586" s="644"/>
      <c r="E586" s="644"/>
      <c r="F586" s="644"/>
      <c r="G586" s="644"/>
      <c r="H586" s="644"/>
      <c r="I586" s="644"/>
      <c r="J586" s="644"/>
      <c r="K586" s="644"/>
      <c r="L586" s="644"/>
      <c r="M586" s="644"/>
      <c r="N586" s="644"/>
      <c r="O586" s="644"/>
      <c r="P586" s="644"/>
    </row>
    <row r="587" spans="4:16" s="364" customFormat="1">
      <c r="D587" s="644"/>
      <c r="E587" s="644"/>
      <c r="F587" s="644"/>
      <c r="G587" s="644"/>
      <c r="H587" s="644"/>
      <c r="I587" s="644"/>
      <c r="J587" s="644"/>
      <c r="K587" s="644"/>
      <c r="L587" s="644"/>
      <c r="M587" s="644"/>
      <c r="N587" s="644"/>
      <c r="O587" s="644"/>
      <c r="P587" s="644"/>
    </row>
    <row r="588" spans="4:16" s="364" customFormat="1">
      <c r="D588" s="644"/>
      <c r="E588" s="644"/>
      <c r="F588" s="644"/>
      <c r="G588" s="644"/>
      <c r="H588" s="644"/>
      <c r="I588" s="644"/>
      <c r="J588" s="644"/>
      <c r="K588" s="644"/>
      <c r="L588" s="644"/>
      <c r="M588" s="644"/>
      <c r="N588" s="644"/>
      <c r="O588" s="644"/>
      <c r="P588" s="644"/>
    </row>
    <row r="589" spans="4:16" s="364" customFormat="1">
      <c r="D589" s="644"/>
      <c r="E589" s="644"/>
      <c r="F589" s="644"/>
      <c r="G589" s="644"/>
      <c r="H589" s="644"/>
      <c r="I589" s="644"/>
      <c r="J589" s="644"/>
      <c r="K589" s="644"/>
      <c r="L589" s="644"/>
      <c r="M589" s="644"/>
      <c r="N589" s="644"/>
      <c r="O589" s="644"/>
      <c r="P589" s="644"/>
    </row>
    <row r="590" spans="4:16" s="364" customFormat="1">
      <c r="D590" s="644"/>
      <c r="E590" s="644"/>
      <c r="F590" s="644"/>
      <c r="G590" s="644"/>
      <c r="H590" s="644"/>
      <c r="I590" s="644"/>
      <c r="J590" s="644"/>
      <c r="K590" s="644"/>
      <c r="L590" s="644"/>
      <c r="M590" s="644"/>
      <c r="N590" s="644"/>
      <c r="O590" s="644"/>
      <c r="P590" s="644"/>
    </row>
    <row r="591" spans="4:16" s="364" customFormat="1">
      <c r="D591" s="644"/>
      <c r="E591" s="644"/>
      <c r="F591" s="644"/>
      <c r="G591" s="644"/>
      <c r="H591" s="644"/>
      <c r="I591" s="644"/>
      <c r="J591" s="644"/>
      <c r="K591" s="644"/>
      <c r="L591" s="644"/>
      <c r="M591" s="644"/>
      <c r="N591" s="644"/>
      <c r="O591" s="644"/>
      <c r="P591" s="644"/>
    </row>
    <row r="592" spans="4:16" s="364" customFormat="1">
      <c r="D592" s="644"/>
      <c r="E592" s="644"/>
      <c r="F592" s="644"/>
      <c r="G592" s="644"/>
      <c r="H592" s="644"/>
      <c r="I592" s="644"/>
      <c r="J592" s="644"/>
      <c r="K592" s="644"/>
      <c r="L592" s="644"/>
      <c r="M592" s="644"/>
      <c r="N592" s="644"/>
      <c r="O592" s="644"/>
      <c r="P592" s="644"/>
    </row>
    <row r="593" spans="4:16" s="364" customFormat="1">
      <c r="D593" s="644"/>
      <c r="E593" s="644"/>
      <c r="F593" s="644"/>
      <c r="G593" s="644"/>
      <c r="H593" s="644"/>
      <c r="I593" s="644"/>
      <c r="J593" s="644"/>
      <c r="K593" s="644"/>
      <c r="L593" s="644"/>
      <c r="M593" s="644"/>
      <c r="N593" s="644"/>
      <c r="O593" s="644"/>
      <c r="P593" s="644"/>
    </row>
    <row r="594" spans="4:16" s="364" customFormat="1">
      <c r="D594" s="644"/>
      <c r="E594" s="644"/>
      <c r="F594" s="644"/>
      <c r="G594" s="644"/>
      <c r="H594" s="644"/>
      <c r="I594" s="644"/>
      <c r="J594" s="644"/>
      <c r="K594" s="644"/>
      <c r="L594" s="644"/>
      <c r="M594" s="644"/>
      <c r="N594" s="644"/>
      <c r="O594" s="644"/>
      <c r="P594" s="644"/>
    </row>
    <row r="595" spans="4:16" s="364" customFormat="1">
      <c r="D595" s="644"/>
      <c r="E595" s="644"/>
      <c r="F595" s="644"/>
      <c r="G595" s="644"/>
      <c r="H595" s="644"/>
      <c r="I595" s="644"/>
      <c r="J595" s="644"/>
      <c r="K595" s="644"/>
      <c r="L595" s="644"/>
      <c r="M595" s="644"/>
      <c r="N595" s="644"/>
      <c r="O595" s="644"/>
      <c r="P595" s="644"/>
    </row>
    <row r="596" spans="4:16" s="364" customFormat="1">
      <c r="D596" s="644"/>
      <c r="E596" s="644"/>
      <c r="F596" s="644"/>
      <c r="G596" s="644"/>
      <c r="H596" s="644"/>
      <c r="I596" s="644"/>
      <c r="J596" s="644"/>
      <c r="K596" s="644"/>
      <c r="L596" s="644"/>
      <c r="M596" s="644"/>
      <c r="N596" s="644"/>
      <c r="O596" s="644"/>
      <c r="P596" s="644"/>
    </row>
    <row r="597" spans="4:16" s="364" customFormat="1">
      <c r="D597" s="644"/>
      <c r="E597" s="644"/>
      <c r="F597" s="644"/>
      <c r="G597" s="644"/>
      <c r="H597" s="644"/>
      <c r="I597" s="644"/>
      <c r="J597" s="644"/>
      <c r="K597" s="644"/>
      <c r="L597" s="644"/>
      <c r="M597" s="644"/>
      <c r="N597" s="644"/>
      <c r="O597" s="644"/>
      <c r="P597" s="644"/>
    </row>
    <row r="598" spans="4:16" s="364" customFormat="1">
      <c r="D598" s="644"/>
      <c r="E598" s="644"/>
      <c r="F598" s="644"/>
      <c r="G598" s="644"/>
      <c r="H598" s="644"/>
      <c r="I598" s="644"/>
      <c r="J598" s="644"/>
      <c r="K598" s="644"/>
      <c r="L598" s="644"/>
      <c r="M598" s="644"/>
      <c r="N598" s="644"/>
      <c r="O598" s="644"/>
      <c r="P598" s="644"/>
    </row>
    <row r="599" spans="4:16" s="364" customFormat="1">
      <c r="D599" s="644"/>
      <c r="E599" s="644"/>
      <c r="F599" s="644"/>
      <c r="G599" s="644"/>
      <c r="H599" s="644"/>
      <c r="I599" s="644"/>
      <c r="J599" s="644"/>
      <c r="K599" s="644"/>
      <c r="L599" s="644"/>
      <c r="M599" s="644"/>
      <c r="N599" s="644"/>
      <c r="O599" s="644"/>
      <c r="P599" s="644"/>
    </row>
    <row r="600" spans="4:16" s="364" customFormat="1">
      <c r="D600" s="644"/>
      <c r="E600" s="644"/>
      <c r="F600" s="644"/>
      <c r="G600" s="644"/>
      <c r="H600" s="644"/>
      <c r="I600" s="644"/>
      <c r="J600" s="644"/>
      <c r="K600" s="644"/>
      <c r="L600" s="644"/>
      <c r="M600" s="644"/>
      <c r="N600" s="644"/>
      <c r="O600" s="644"/>
      <c r="P600" s="644"/>
    </row>
    <row r="601" spans="4:16" s="364" customFormat="1">
      <c r="D601" s="644"/>
      <c r="E601" s="644"/>
      <c r="F601" s="644"/>
      <c r="G601" s="644"/>
      <c r="H601" s="644"/>
      <c r="I601" s="644"/>
      <c r="J601" s="644"/>
      <c r="K601" s="644"/>
      <c r="L601" s="644"/>
      <c r="M601" s="644"/>
      <c r="N601" s="644"/>
      <c r="O601" s="644"/>
      <c r="P601" s="644"/>
    </row>
    <row r="602" spans="4:16" s="364" customFormat="1">
      <c r="D602" s="644"/>
      <c r="E602" s="644"/>
      <c r="F602" s="644"/>
      <c r="G602" s="644"/>
      <c r="H602" s="644"/>
      <c r="I602" s="644"/>
      <c r="J602" s="644"/>
      <c r="K602" s="644"/>
      <c r="L602" s="644"/>
      <c r="M602" s="644"/>
      <c r="N602" s="644"/>
      <c r="O602" s="644"/>
      <c r="P602" s="644"/>
    </row>
    <row r="603" spans="4:16" s="364" customFormat="1">
      <c r="D603" s="644"/>
      <c r="E603" s="644"/>
      <c r="F603" s="644"/>
      <c r="G603" s="644"/>
      <c r="H603" s="644"/>
      <c r="I603" s="644"/>
      <c r="J603" s="644"/>
      <c r="K603" s="644"/>
      <c r="L603" s="644"/>
      <c r="M603" s="644"/>
      <c r="N603" s="644"/>
      <c r="O603" s="644"/>
      <c r="P603" s="644"/>
    </row>
    <row r="604" spans="4:16" s="364" customFormat="1">
      <c r="D604" s="644"/>
      <c r="E604" s="644"/>
      <c r="F604" s="644"/>
      <c r="G604" s="644"/>
      <c r="H604" s="644"/>
      <c r="I604" s="644"/>
      <c r="J604" s="644"/>
      <c r="K604" s="644"/>
      <c r="L604" s="644"/>
      <c r="M604" s="644"/>
      <c r="N604" s="644"/>
      <c r="O604" s="644"/>
      <c r="P604" s="644"/>
    </row>
    <row r="605" spans="4:16" s="364" customFormat="1">
      <c r="D605" s="644"/>
      <c r="E605" s="644"/>
      <c r="F605" s="644"/>
      <c r="G605" s="644"/>
      <c r="H605" s="644"/>
      <c r="I605" s="644"/>
      <c r="J605" s="644"/>
      <c r="K605" s="644"/>
      <c r="L605" s="644"/>
      <c r="M605" s="644"/>
      <c r="N605" s="644"/>
      <c r="O605" s="644"/>
      <c r="P605" s="644"/>
    </row>
    <row r="606" spans="4:16" s="364" customFormat="1">
      <c r="D606" s="644"/>
      <c r="E606" s="644"/>
      <c r="F606" s="644"/>
      <c r="G606" s="644"/>
      <c r="H606" s="644"/>
      <c r="I606" s="644"/>
      <c r="J606" s="644"/>
      <c r="K606" s="644"/>
      <c r="L606" s="644"/>
      <c r="M606" s="644"/>
      <c r="N606" s="644"/>
      <c r="O606" s="644"/>
      <c r="P606" s="644"/>
    </row>
    <row r="607" spans="4:16" s="364" customFormat="1">
      <c r="D607" s="644"/>
      <c r="E607" s="644"/>
      <c r="F607" s="644"/>
      <c r="G607" s="644"/>
      <c r="H607" s="644"/>
      <c r="I607" s="644"/>
      <c r="J607" s="644"/>
      <c r="K607" s="644"/>
      <c r="L607" s="644"/>
      <c r="M607" s="644"/>
      <c r="N607" s="644"/>
      <c r="O607" s="644"/>
      <c r="P607" s="644"/>
    </row>
    <row r="608" spans="4:16" s="364" customFormat="1">
      <c r="D608" s="644"/>
      <c r="E608" s="644"/>
      <c r="F608" s="644"/>
      <c r="G608" s="644"/>
      <c r="H608" s="644"/>
      <c r="I608" s="644"/>
      <c r="J608" s="644"/>
      <c r="K608" s="644"/>
      <c r="L608" s="644"/>
      <c r="M608" s="644"/>
      <c r="N608" s="644"/>
      <c r="O608" s="644"/>
      <c r="P608" s="644"/>
    </row>
    <row r="609" spans="4:16" s="364" customFormat="1">
      <c r="D609" s="644"/>
      <c r="E609" s="644"/>
      <c r="F609" s="644"/>
      <c r="G609" s="644"/>
      <c r="H609" s="644"/>
      <c r="I609" s="644"/>
      <c r="J609" s="644"/>
      <c r="K609" s="644"/>
      <c r="L609" s="644"/>
      <c r="M609" s="644"/>
      <c r="N609" s="644"/>
      <c r="O609" s="644"/>
      <c r="P609" s="644"/>
    </row>
    <row r="610" spans="4:16" s="364" customFormat="1">
      <c r="D610" s="644"/>
      <c r="E610" s="644"/>
      <c r="F610" s="644"/>
      <c r="G610" s="644"/>
      <c r="H610" s="644"/>
      <c r="I610" s="644"/>
      <c r="J610" s="644"/>
      <c r="K610" s="644"/>
      <c r="L610" s="644"/>
      <c r="M610" s="644"/>
      <c r="N610" s="644"/>
      <c r="O610" s="644"/>
      <c r="P610" s="644"/>
    </row>
    <row r="611" spans="4:16" s="364" customFormat="1">
      <c r="D611" s="644"/>
      <c r="E611" s="644"/>
      <c r="F611" s="644"/>
      <c r="G611" s="644"/>
      <c r="H611" s="644"/>
      <c r="I611" s="644"/>
      <c r="J611" s="644"/>
      <c r="K611" s="644"/>
      <c r="L611" s="644"/>
      <c r="M611" s="644"/>
      <c r="N611" s="644"/>
      <c r="O611" s="644"/>
      <c r="P611" s="644"/>
    </row>
    <row r="612" spans="4:16" s="364" customFormat="1">
      <c r="D612" s="644"/>
      <c r="E612" s="644"/>
      <c r="F612" s="644"/>
      <c r="G612" s="644"/>
      <c r="H612" s="644"/>
      <c r="I612" s="644"/>
      <c r="J612" s="644"/>
      <c r="K612" s="644"/>
      <c r="L612" s="644"/>
      <c r="M612" s="644"/>
      <c r="N612" s="644"/>
      <c r="O612" s="644"/>
      <c r="P612" s="644"/>
    </row>
    <row r="613" spans="4:16" s="364" customFormat="1">
      <c r="D613" s="644"/>
      <c r="E613" s="644"/>
      <c r="F613" s="644"/>
      <c r="G613" s="644"/>
      <c r="H613" s="644"/>
      <c r="I613" s="644"/>
      <c r="J613" s="644"/>
      <c r="K613" s="644"/>
      <c r="L613" s="644"/>
      <c r="M613" s="644"/>
      <c r="N613" s="644"/>
      <c r="O613" s="644"/>
      <c r="P613" s="644"/>
    </row>
    <row r="614" spans="4:16" s="364" customFormat="1">
      <c r="D614" s="644"/>
      <c r="E614" s="644"/>
      <c r="F614" s="644"/>
      <c r="G614" s="644"/>
      <c r="H614" s="644"/>
      <c r="I614" s="644"/>
      <c r="J614" s="644"/>
      <c r="K614" s="644"/>
      <c r="L614" s="644"/>
      <c r="M614" s="644"/>
      <c r="N614" s="644"/>
      <c r="O614" s="644"/>
      <c r="P614" s="644"/>
    </row>
    <row r="615" spans="4:16" s="364" customFormat="1">
      <c r="D615" s="644"/>
      <c r="E615" s="644"/>
      <c r="F615" s="644"/>
      <c r="G615" s="644"/>
      <c r="H615" s="644"/>
      <c r="I615" s="644"/>
      <c r="J615" s="644"/>
      <c r="K615" s="644"/>
      <c r="L615" s="644"/>
      <c r="M615" s="644"/>
      <c r="N615" s="644"/>
      <c r="O615" s="644"/>
      <c r="P615" s="644"/>
    </row>
    <row r="616" spans="4:16" s="364" customFormat="1">
      <c r="D616" s="644"/>
      <c r="E616" s="644"/>
      <c r="F616" s="644"/>
      <c r="G616" s="644"/>
      <c r="H616" s="644"/>
      <c r="I616" s="644"/>
      <c r="J616" s="644"/>
      <c r="K616" s="644"/>
      <c r="L616" s="644"/>
      <c r="M616" s="644"/>
      <c r="N616" s="644"/>
      <c r="O616" s="644"/>
      <c r="P616" s="644"/>
    </row>
    <row r="617" spans="4:16" s="364" customFormat="1">
      <c r="D617" s="644"/>
      <c r="E617" s="644"/>
      <c r="F617" s="644"/>
      <c r="G617" s="644"/>
      <c r="H617" s="644"/>
      <c r="I617" s="644"/>
      <c r="J617" s="644"/>
      <c r="K617" s="644"/>
      <c r="L617" s="644"/>
      <c r="M617" s="644"/>
      <c r="N617" s="644"/>
      <c r="O617" s="644"/>
      <c r="P617" s="644"/>
    </row>
    <row r="618" spans="4:16" s="364" customFormat="1">
      <c r="D618" s="644"/>
      <c r="E618" s="644"/>
      <c r="F618" s="644"/>
      <c r="G618" s="644"/>
      <c r="H618" s="644"/>
      <c r="I618" s="644"/>
      <c r="J618" s="644"/>
      <c r="K618" s="644"/>
      <c r="L618" s="644"/>
      <c r="M618" s="644"/>
      <c r="N618" s="644"/>
      <c r="O618" s="644"/>
      <c r="P618" s="644"/>
    </row>
    <row r="619" spans="4:16" s="364" customFormat="1">
      <c r="D619" s="644"/>
      <c r="E619" s="644"/>
      <c r="F619" s="644"/>
      <c r="G619" s="644"/>
      <c r="H619" s="644"/>
      <c r="I619" s="644"/>
      <c r="J619" s="644"/>
      <c r="K619" s="644"/>
      <c r="L619" s="644"/>
      <c r="M619" s="644"/>
      <c r="N619" s="644"/>
      <c r="O619" s="644"/>
      <c r="P619" s="644"/>
    </row>
    <row r="620" spans="4:16" s="364" customFormat="1">
      <c r="D620" s="644"/>
      <c r="E620" s="644"/>
      <c r="F620" s="644"/>
      <c r="G620" s="644"/>
      <c r="H620" s="644"/>
      <c r="I620" s="644"/>
      <c r="J620" s="644"/>
      <c r="K620" s="644"/>
      <c r="L620" s="644"/>
      <c r="M620" s="644"/>
      <c r="N620" s="644"/>
      <c r="O620" s="644"/>
      <c r="P620" s="644"/>
    </row>
    <row r="621" spans="4:16" s="364" customFormat="1">
      <c r="D621" s="644"/>
      <c r="E621" s="644"/>
      <c r="F621" s="644"/>
      <c r="G621" s="644"/>
      <c r="H621" s="644"/>
      <c r="I621" s="644"/>
      <c r="J621" s="644"/>
      <c r="K621" s="644"/>
      <c r="L621" s="644"/>
      <c r="M621" s="644"/>
      <c r="N621" s="644"/>
      <c r="O621" s="644"/>
      <c r="P621" s="644"/>
    </row>
    <row r="622" spans="4:16" s="364" customFormat="1">
      <c r="D622" s="644"/>
      <c r="E622" s="644"/>
      <c r="F622" s="644"/>
      <c r="G622" s="644"/>
      <c r="H622" s="644"/>
      <c r="I622" s="644"/>
      <c r="J622" s="644"/>
      <c r="K622" s="644"/>
      <c r="L622" s="644"/>
      <c r="M622" s="644"/>
      <c r="N622" s="644"/>
      <c r="O622" s="644"/>
      <c r="P622" s="644"/>
    </row>
    <row r="623" spans="4:16" s="364" customFormat="1">
      <c r="D623" s="644"/>
      <c r="E623" s="644"/>
      <c r="F623" s="644"/>
      <c r="G623" s="644"/>
      <c r="H623" s="644"/>
      <c r="I623" s="644"/>
      <c r="J623" s="644"/>
      <c r="K623" s="644"/>
      <c r="L623" s="644"/>
      <c r="M623" s="644"/>
      <c r="N623" s="644"/>
      <c r="O623" s="644"/>
      <c r="P623" s="644"/>
    </row>
    <row r="624" spans="4:16" s="364" customFormat="1">
      <c r="D624" s="644"/>
      <c r="E624" s="644"/>
      <c r="F624" s="644"/>
      <c r="G624" s="644"/>
      <c r="H624" s="644"/>
      <c r="I624" s="644"/>
      <c r="J624" s="644"/>
      <c r="K624" s="644"/>
      <c r="L624" s="644"/>
      <c r="M624" s="644"/>
      <c r="N624" s="644"/>
      <c r="O624" s="644"/>
      <c r="P624" s="644"/>
    </row>
    <row r="625" spans="4:16" s="364" customFormat="1">
      <c r="D625" s="644"/>
      <c r="E625" s="644"/>
      <c r="F625" s="644"/>
      <c r="G625" s="644"/>
      <c r="H625" s="644"/>
      <c r="I625" s="644"/>
      <c r="J625" s="644"/>
      <c r="K625" s="644"/>
      <c r="L625" s="644"/>
      <c r="M625" s="644"/>
      <c r="N625" s="644"/>
      <c r="O625" s="644"/>
      <c r="P625" s="644"/>
    </row>
    <row r="626" spans="4:16" s="364" customFormat="1">
      <c r="D626" s="644"/>
      <c r="E626" s="644"/>
      <c r="F626" s="644"/>
      <c r="G626" s="644"/>
      <c r="H626" s="644"/>
      <c r="I626" s="644"/>
      <c r="J626" s="644"/>
      <c r="K626" s="644"/>
      <c r="L626" s="644"/>
      <c r="M626" s="644"/>
      <c r="N626" s="644"/>
      <c r="O626" s="644"/>
      <c r="P626" s="644"/>
    </row>
    <row r="627" spans="4:16" s="364" customFormat="1">
      <c r="D627" s="644"/>
      <c r="E627" s="644"/>
      <c r="F627" s="644"/>
      <c r="G627" s="644"/>
      <c r="H627" s="644"/>
      <c r="I627" s="644"/>
      <c r="J627" s="644"/>
      <c r="K627" s="644"/>
      <c r="L627" s="644"/>
      <c r="M627" s="644"/>
      <c r="N627" s="644"/>
      <c r="O627" s="644"/>
      <c r="P627" s="644"/>
    </row>
    <row r="628" spans="4:16" s="364" customFormat="1">
      <c r="D628" s="644"/>
      <c r="E628" s="644"/>
      <c r="F628" s="644"/>
      <c r="G628" s="644"/>
      <c r="H628" s="644"/>
      <c r="I628" s="644"/>
      <c r="J628" s="644"/>
      <c r="K628" s="644"/>
      <c r="L628" s="644"/>
      <c r="M628" s="644"/>
      <c r="N628" s="644"/>
      <c r="O628" s="644"/>
      <c r="P628" s="644"/>
    </row>
    <row r="629" spans="4:16" s="364" customFormat="1">
      <c r="D629" s="644"/>
      <c r="E629" s="644"/>
      <c r="F629" s="644"/>
      <c r="G629" s="644"/>
      <c r="H629" s="644"/>
      <c r="I629" s="644"/>
      <c r="J629" s="644"/>
      <c r="K629" s="644"/>
      <c r="L629" s="644"/>
      <c r="M629" s="644"/>
      <c r="N629" s="644"/>
      <c r="O629" s="644"/>
      <c r="P629" s="644"/>
    </row>
    <row r="630" spans="4:16" s="364" customFormat="1">
      <c r="D630" s="644"/>
      <c r="E630" s="644"/>
      <c r="F630" s="644"/>
      <c r="G630" s="644"/>
      <c r="H630" s="644"/>
      <c r="I630" s="644"/>
      <c r="J630" s="644"/>
      <c r="K630" s="644"/>
      <c r="L630" s="644"/>
      <c r="M630" s="644"/>
      <c r="N630" s="644"/>
      <c r="O630" s="644"/>
      <c r="P630" s="644"/>
    </row>
    <row r="631" spans="4:16" s="364" customFormat="1">
      <c r="D631" s="644"/>
      <c r="E631" s="644"/>
      <c r="F631" s="644"/>
      <c r="G631" s="644"/>
      <c r="H631" s="644"/>
      <c r="I631" s="644"/>
      <c r="J631" s="644"/>
      <c r="K631" s="644"/>
      <c r="L631" s="644"/>
      <c r="M631" s="644"/>
      <c r="N631" s="644"/>
      <c r="O631" s="644"/>
      <c r="P631" s="644"/>
    </row>
    <row r="632" spans="4:16" s="364" customFormat="1">
      <c r="D632" s="644"/>
      <c r="E632" s="644"/>
      <c r="F632" s="644"/>
      <c r="G632" s="644"/>
      <c r="H632" s="644"/>
      <c r="I632" s="644"/>
      <c r="J632" s="644"/>
      <c r="K632" s="644"/>
      <c r="L632" s="644"/>
      <c r="M632" s="644"/>
      <c r="N632" s="644"/>
      <c r="O632" s="644"/>
      <c r="P632" s="644"/>
    </row>
    <row r="633" spans="4:16" s="364" customFormat="1">
      <c r="D633" s="644"/>
      <c r="E633" s="644"/>
      <c r="F633" s="644"/>
      <c r="G633" s="644"/>
      <c r="H633" s="644"/>
      <c r="I633" s="644"/>
      <c r="J633" s="644"/>
      <c r="K633" s="644"/>
      <c r="L633" s="644"/>
      <c r="M633" s="644"/>
      <c r="N633" s="644"/>
      <c r="O633" s="644"/>
      <c r="P633" s="644"/>
    </row>
    <row r="634" spans="4:16" s="364" customFormat="1">
      <c r="D634" s="644"/>
      <c r="E634" s="644"/>
      <c r="F634" s="644"/>
      <c r="G634" s="644"/>
      <c r="H634" s="644"/>
      <c r="I634" s="644"/>
      <c r="J634" s="644"/>
      <c r="K634" s="644"/>
      <c r="L634" s="644"/>
      <c r="M634" s="644"/>
      <c r="N634" s="644"/>
      <c r="O634" s="644"/>
      <c r="P634" s="644"/>
    </row>
    <row r="635" spans="4:16" s="364" customFormat="1">
      <c r="D635" s="644"/>
      <c r="E635" s="644"/>
      <c r="F635" s="644"/>
      <c r="G635" s="644"/>
      <c r="H635" s="644"/>
      <c r="I635" s="644"/>
      <c r="J635" s="644"/>
      <c r="K635" s="644"/>
      <c r="L635" s="644"/>
      <c r="M635" s="644"/>
      <c r="N635" s="644"/>
      <c r="O635" s="644"/>
      <c r="P635" s="644"/>
    </row>
    <row r="636" spans="4:16" s="364" customFormat="1">
      <c r="D636" s="644"/>
      <c r="E636" s="644"/>
      <c r="F636" s="644"/>
      <c r="G636" s="644"/>
      <c r="H636" s="644"/>
      <c r="I636" s="644"/>
      <c r="J636" s="644"/>
      <c r="K636" s="644"/>
      <c r="L636" s="644"/>
      <c r="M636" s="644"/>
      <c r="N636" s="644"/>
      <c r="O636" s="644"/>
      <c r="P636" s="644"/>
    </row>
    <row r="637" spans="4:16" s="364" customFormat="1">
      <c r="D637" s="644"/>
      <c r="E637" s="644"/>
      <c r="F637" s="644"/>
      <c r="G637" s="644"/>
      <c r="H637" s="644"/>
      <c r="I637" s="644"/>
      <c r="J637" s="644"/>
      <c r="K637" s="644"/>
      <c r="L637" s="644"/>
      <c r="M637" s="644"/>
      <c r="N637" s="644"/>
      <c r="O637" s="644"/>
      <c r="P637" s="644"/>
    </row>
    <row r="638" spans="4:16" s="364" customFormat="1">
      <c r="D638" s="644"/>
      <c r="E638" s="644"/>
      <c r="F638" s="644"/>
      <c r="G638" s="644"/>
      <c r="H638" s="644"/>
      <c r="I638" s="644"/>
      <c r="J638" s="644"/>
      <c r="K638" s="644"/>
      <c r="L638" s="644"/>
      <c r="M638" s="644"/>
      <c r="N638" s="644"/>
      <c r="O638" s="644"/>
      <c r="P638" s="644"/>
    </row>
    <row r="639" spans="4:16" s="364" customFormat="1">
      <c r="D639" s="644"/>
      <c r="E639" s="644"/>
      <c r="F639" s="644"/>
      <c r="G639" s="644"/>
      <c r="H639" s="644"/>
      <c r="I639" s="644"/>
      <c r="J639" s="644"/>
      <c r="K639" s="644"/>
      <c r="L639" s="644"/>
      <c r="M639" s="644"/>
      <c r="N639" s="644"/>
      <c r="O639" s="644"/>
      <c r="P639" s="644"/>
    </row>
  </sheetData>
  <mergeCells count="5">
    <mergeCell ref="A1:P1"/>
    <mergeCell ref="A2:P2"/>
    <mergeCell ref="A3:P3"/>
    <mergeCell ref="A4:P4"/>
    <mergeCell ref="A5:P5"/>
  </mergeCells>
  <printOptions horizontalCentered="1"/>
  <pageMargins left="0.19685039370078741" right="0.19685039370078741" top="0.98425196850393704" bottom="0.78740157480314965" header="0.31496062992125984" footer="0.31496062992125984"/>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0600-4906-4A10-A666-156280FDEC61}">
  <dimension ref="A1:C89"/>
  <sheetViews>
    <sheetView workbookViewId="0">
      <selection activeCell="C89" sqref="A1:C89"/>
    </sheetView>
  </sheetViews>
  <sheetFormatPr defaultRowHeight="12.75"/>
  <cols>
    <col min="1" max="1" width="25" bestFit="1" customWidth="1"/>
    <col min="2" max="2" width="4" bestFit="1" customWidth="1"/>
    <col min="3" max="3" width="25.5703125" bestFit="1" customWidth="1"/>
  </cols>
  <sheetData>
    <row r="1" spans="1:3">
      <c r="A1" t="s">
        <v>2821</v>
      </c>
      <c r="B1" t="s">
        <v>2822</v>
      </c>
      <c r="C1" t="s">
        <v>2823</v>
      </c>
    </row>
    <row r="2" spans="1:3">
      <c r="A2" t="s">
        <v>2824</v>
      </c>
      <c r="B2" t="s">
        <v>2825</v>
      </c>
      <c r="C2" t="s">
        <v>2826</v>
      </c>
    </row>
    <row r="3" spans="1:3">
      <c r="A3" t="s">
        <v>2974</v>
      </c>
      <c r="B3" t="s">
        <v>2975</v>
      </c>
      <c r="C3" t="s">
        <v>2976</v>
      </c>
    </row>
    <row r="4" spans="1:3">
      <c r="A4" t="s">
        <v>2977</v>
      </c>
      <c r="B4" t="s">
        <v>2978</v>
      </c>
      <c r="C4" t="s">
        <v>2979</v>
      </c>
    </row>
    <row r="5" spans="1:3">
      <c r="A5" t="s">
        <v>2980</v>
      </c>
      <c r="B5" t="s">
        <v>2981</v>
      </c>
      <c r="C5" t="s">
        <v>2982</v>
      </c>
    </row>
    <row r="6" spans="1:3">
      <c r="A6" t="s">
        <v>3019</v>
      </c>
      <c r="B6" t="s">
        <v>3020</v>
      </c>
      <c r="C6" t="s">
        <v>3021</v>
      </c>
    </row>
    <row r="7" spans="1:3">
      <c r="A7" t="s">
        <v>2983</v>
      </c>
      <c r="B7" t="s">
        <v>2984</v>
      </c>
      <c r="C7" t="s">
        <v>2985</v>
      </c>
    </row>
    <row r="8" spans="1:3">
      <c r="A8" t="s">
        <v>2911</v>
      </c>
      <c r="B8" t="s">
        <v>2912</v>
      </c>
      <c r="C8" t="s">
        <v>2913</v>
      </c>
    </row>
    <row r="9" spans="1:3">
      <c r="A9" t="s">
        <v>2857</v>
      </c>
      <c r="B9" t="s">
        <v>2858</v>
      </c>
      <c r="C9" t="s">
        <v>2859</v>
      </c>
    </row>
    <row r="10" spans="1:3">
      <c r="A10" t="s">
        <v>2860</v>
      </c>
      <c r="B10" t="s">
        <v>2861</v>
      </c>
      <c r="C10" t="s">
        <v>2862</v>
      </c>
    </row>
    <row r="11" spans="1:3">
      <c r="A11" t="s">
        <v>2914</v>
      </c>
      <c r="B11" t="s">
        <v>2915</v>
      </c>
      <c r="C11" t="s">
        <v>2916</v>
      </c>
    </row>
    <row r="12" spans="1:3">
      <c r="A12" t="s">
        <v>2881</v>
      </c>
      <c r="B12" t="s">
        <v>2882</v>
      </c>
      <c r="C12" t="s">
        <v>2883</v>
      </c>
    </row>
    <row r="13" spans="1:3">
      <c r="A13" t="s">
        <v>3022</v>
      </c>
      <c r="B13" t="s">
        <v>3023</v>
      </c>
      <c r="C13" t="s">
        <v>3024</v>
      </c>
    </row>
    <row r="14" spans="1:3">
      <c r="A14" t="s">
        <v>2941</v>
      </c>
      <c r="B14" t="s">
        <v>2942</v>
      </c>
      <c r="C14" t="s">
        <v>2943</v>
      </c>
    </row>
    <row r="15" spans="1:3">
      <c r="A15" t="s">
        <v>2989</v>
      </c>
      <c r="B15" t="s">
        <v>2990</v>
      </c>
      <c r="C15" t="s">
        <v>2991</v>
      </c>
    </row>
    <row r="16" spans="1:3">
      <c r="A16" t="s">
        <v>2944</v>
      </c>
      <c r="B16" t="s">
        <v>2945</v>
      </c>
      <c r="C16" t="s">
        <v>2946</v>
      </c>
    </row>
    <row r="17" spans="1:3">
      <c r="A17" t="s">
        <v>2884</v>
      </c>
      <c r="B17" t="s">
        <v>2885</v>
      </c>
      <c r="C17" t="s">
        <v>2886</v>
      </c>
    </row>
    <row r="18" spans="1:3">
      <c r="A18" t="s">
        <v>2917</v>
      </c>
      <c r="B18" t="s">
        <v>2918</v>
      </c>
      <c r="C18" t="s">
        <v>2919</v>
      </c>
    </row>
    <row r="19" spans="1:3">
      <c r="A19" t="s">
        <v>2947</v>
      </c>
      <c r="B19" t="s">
        <v>2948</v>
      </c>
      <c r="C19" t="s">
        <v>2949</v>
      </c>
    </row>
    <row r="20" spans="1:3">
      <c r="A20" t="s">
        <v>2920</v>
      </c>
      <c r="B20" t="s">
        <v>2921</v>
      </c>
      <c r="C20" t="s">
        <v>2922</v>
      </c>
    </row>
    <row r="21" spans="1:3">
      <c r="A21" t="s">
        <v>3016</v>
      </c>
      <c r="B21" t="s">
        <v>3017</v>
      </c>
      <c r="C21" t="s">
        <v>3018</v>
      </c>
    </row>
    <row r="22" spans="1:3">
      <c r="A22" t="s">
        <v>2950</v>
      </c>
      <c r="B22" t="s">
        <v>2951</v>
      </c>
      <c r="C22" t="s">
        <v>2952</v>
      </c>
    </row>
    <row r="23" spans="1:3">
      <c r="A23" t="s">
        <v>2992</v>
      </c>
      <c r="B23" t="s">
        <v>2993</v>
      </c>
      <c r="C23" t="s">
        <v>2994</v>
      </c>
    </row>
    <row r="24" spans="1:3">
      <c r="A24" t="s">
        <v>2863</v>
      </c>
      <c r="B24" t="s">
        <v>2864</v>
      </c>
      <c r="C24" t="s">
        <v>2865</v>
      </c>
    </row>
    <row r="25" spans="1:3">
      <c r="A25" t="s">
        <v>2887</v>
      </c>
      <c r="B25" t="s">
        <v>2888</v>
      </c>
      <c r="C25" t="s">
        <v>2889</v>
      </c>
    </row>
    <row r="26" spans="1:3">
      <c r="A26" t="s">
        <v>3025</v>
      </c>
      <c r="B26" t="s">
        <v>3026</v>
      </c>
      <c r="C26" t="s">
        <v>3027</v>
      </c>
    </row>
    <row r="27" spans="1:3">
      <c r="A27" t="s">
        <v>2827</v>
      </c>
      <c r="B27" t="s">
        <v>2828</v>
      </c>
      <c r="C27" t="s">
        <v>2829</v>
      </c>
    </row>
    <row r="28" spans="1:3">
      <c r="A28" t="s">
        <v>2890</v>
      </c>
      <c r="B28" t="s">
        <v>2891</v>
      </c>
      <c r="C28" t="s">
        <v>2892</v>
      </c>
    </row>
    <row r="29" spans="1:3">
      <c r="A29" t="s">
        <v>2830</v>
      </c>
      <c r="B29" t="s">
        <v>2831</v>
      </c>
      <c r="C29" t="s">
        <v>2832</v>
      </c>
    </row>
    <row r="30" spans="1:3">
      <c r="A30" t="s">
        <v>2995</v>
      </c>
      <c r="B30" t="s">
        <v>2996</v>
      </c>
      <c r="C30" t="s">
        <v>2997</v>
      </c>
    </row>
    <row r="31" spans="1:3">
      <c r="A31" t="s">
        <v>2833</v>
      </c>
      <c r="B31" t="s">
        <v>2834</v>
      </c>
      <c r="C31" t="s">
        <v>2835</v>
      </c>
    </row>
    <row r="32" spans="1:3">
      <c r="A32" t="s">
        <v>2923</v>
      </c>
      <c r="B32" t="s">
        <v>2924</v>
      </c>
      <c r="C32" t="s">
        <v>2925</v>
      </c>
    </row>
    <row r="33" spans="1:3">
      <c r="A33" t="s">
        <v>2926</v>
      </c>
      <c r="B33" t="s">
        <v>2927</v>
      </c>
      <c r="C33" t="s">
        <v>2928</v>
      </c>
    </row>
    <row r="34" spans="1:3">
      <c r="A34" t="s">
        <v>2929</v>
      </c>
      <c r="B34" t="s">
        <v>2930</v>
      </c>
      <c r="C34" t="s">
        <v>2931</v>
      </c>
    </row>
    <row r="35" spans="1:3">
      <c r="A35" t="s">
        <v>2836</v>
      </c>
      <c r="B35" t="s">
        <v>2837</v>
      </c>
      <c r="C35" t="s">
        <v>2838</v>
      </c>
    </row>
    <row r="36" spans="1:3">
      <c r="A36" t="s">
        <v>2839</v>
      </c>
      <c r="B36" t="s">
        <v>2840</v>
      </c>
      <c r="C36" t="s">
        <v>2841</v>
      </c>
    </row>
    <row r="37" spans="1:3">
      <c r="A37" t="s">
        <v>2932</v>
      </c>
      <c r="B37" t="s">
        <v>2933</v>
      </c>
      <c r="C37" t="s">
        <v>2934</v>
      </c>
    </row>
    <row r="38" spans="1:3">
      <c r="A38" t="s">
        <v>2953</v>
      </c>
      <c r="B38" t="s">
        <v>2954</v>
      </c>
      <c r="C38" t="s">
        <v>2955</v>
      </c>
    </row>
    <row r="39" spans="1:3">
      <c r="A39" t="s">
        <v>3028</v>
      </c>
      <c r="B39" t="s">
        <v>3029</v>
      </c>
      <c r="C39" t="s">
        <v>3030</v>
      </c>
    </row>
    <row r="40" spans="1:3">
      <c r="A40" t="s">
        <v>2842</v>
      </c>
      <c r="B40" t="s">
        <v>2843</v>
      </c>
      <c r="C40" t="s">
        <v>2844</v>
      </c>
    </row>
    <row r="41" spans="1:3">
      <c r="A41" t="s">
        <v>3031</v>
      </c>
      <c r="B41" t="s">
        <v>3032</v>
      </c>
      <c r="C41" t="s">
        <v>3033</v>
      </c>
    </row>
    <row r="42" spans="1:3">
      <c r="A42" t="s">
        <v>3034</v>
      </c>
      <c r="B42" t="s">
        <v>3035</v>
      </c>
      <c r="C42" t="s">
        <v>3036</v>
      </c>
    </row>
    <row r="43" spans="1:3">
      <c r="A43" t="s">
        <v>3037</v>
      </c>
      <c r="B43" t="s">
        <v>3038</v>
      </c>
      <c r="C43" t="s">
        <v>3039</v>
      </c>
    </row>
    <row r="44" spans="1:3">
      <c r="A44" t="s">
        <v>2956</v>
      </c>
      <c r="B44" t="s">
        <v>2957</v>
      </c>
      <c r="C44" t="s">
        <v>2958</v>
      </c>
    </row>
    <row r="45" spans="1:3">
      <c r="A45" t="s">
        <v>2866</v>
      </c>
      <c r="B45" t="s">
        <v>2867</v>
      </c>
      <c r="C45" t="s">
        <v>2868</v>
      </c>
    </row>
    <row r="46" spans="1:3">
      <c r="A46" t="s">
        <v>2869</v>
      </c>
      <c r="B46" t="s">
        <v>2870</v>
      </c>
      <c r="C46" t="s">
        <v>2871</v>
      </c>
    </row>
    <row r="47" spans="1:3">
      <c r="A47" t="s">
        <v>2896</v>
      </c>
      <c r="B47" t="s">
        <v>2897</v>
      </c>
      <c r="C47" t="s">
        <v>2898</v>
      </c>
    </row>
    <row r="48" spans="1:3">
      <c r="A48" t="s">
        <v>2893</v>
      </c>
      <c r="B48" t="s">
        <v>2894</v>
      </c>
      <c r="C48" t="s">
        <v>2895</v>
      </c>
    </row>
    <row r="49" spans="1:3">
      <c r="A49" t="s">
        <v>2899</v>
      </c>
      <c r="B49" t="s">
        <v>2900</v>
      </c>
      <c r="C49" t="s">
        <v>2901</v>
      </c>
    </row>
    <row r="50" spans="1:3">
      <c r="A50" t="s">
        <v>2785</v>
      </c>
      <c r="B50" t="s">
        <v>2786</v>
      </c>
      <c r="C50" t="s">
        <v>2787</v>
      </c>
    </row>
    <row r="51" spans="1:3">
      <c r="A51" t="s">
        <v>2782</v>
      </c>
      <c r="B51" t="s">
        <v>2783</v>
      </c>
      <c r="C51" t="s">
        <v>2784</v>
      </c>
    </row>
    <row r="52" spans="1:3">
      <c r="A52" t="s">
        <v>2788</v>
      </c>
      <c r="B52" t="s">
        <v>2789</v>
      </c>
      <c r="C52" t="s">
        <v>2790</v>
      </c>
    </row>
    <row r="53" spans="1:3">
      <c r="A53" t="s">
        <v>2791</v>
      </c>
      <c r="B53" t="s">
        <v>2792</v>
      </c>
      <c r="C53" t="s">
        <v>2793</v>
      </c>
    </row>
    <row r="54" spans="1:3">
      <c r="A54" t="s">
        <v>2794</v>
      </c>
      <c r="B54" t="s">
        <v>2795</v>
      </c>
      <c r="C54" t="s">
        <v>2796</v>
      </c>
    </row>
    <row r="55" spans="1:3">
      <c r="A55" t="s">
        <v>2818</v>
      </c>
      <c r="B55" t="s">
        <v>2819</v>
      </c>
      <c r="C55" t="s">
        <v>2820</v>
      </c>
    </row>
    <row r="56" spans="1:3">
      <c r="A56" t="s">
        <v>2815</v>
      </c>
      <c r="B56" t="s">
        <v>2816</v>
      </c>
      <c r="C56" t="s">
        <v>2817</v>
      </c>
    </row>
    <row r="57" spans="1:3">
      <c r="A57" t="s">
        <v>2797</v>
      </c>
      <c r="B57" t="s">
        <v>2798</v>
      </c>
      <c r="C57" t="s">
        <v>2799</v>
      </c>
    </row>
    <row r="58" spans="1:3">
      <c r="A58" t="s">
        <v>2812</v>
      </c>
      <c r="B58" t="s">
        <v>2813</v>
      </c>
      <c r="C58" t="s">
        <v>2814</v>
      </c>
    </row>
    <row r="59" spans="1:3">
      <c r="A59" t="s">
        <v>2800</v>
      </c>
      <c r="B59" t="s">
        <v>2801</v>
      </c>
      <c r="C59" t="s">
        <v>2802</v>
      </c>
    </row>
    <row r="60" spans="1:3">
      <c r="A60" t="s">
        <v>2803</v>
      </c>
      <c r="B60" t="s">
        <v>2804</v>
      </c>
      <c r="C60" t="s">
        <v>2805</v>
      </c>
    </row>
    <row r="61" spans="1:3">
      <c r="A61" t="s">
        <v>2806</v>
      </c>
      <c r="B61" t="s">
        <v>2807</v>
      </c>
      <c r="C61" t="s">
        <v>2808</v>
      </c>
    </row>
    <row r="62" spans="1:3">
      <c r="A62" t="s">
        <v>2809</v>
      </c>
      <c r="B62" t="s">
        <v>2810</v>
      </c>
      <c r="C62" t="s">
        <v>2811</v>
      </c>
    </row>
    <row r="63" spans="1:3">
      <c r="A63" t="s">
        <v>2845</v>
      </c>
      <c r="B63" t="s">
        <v>2846</v>
      </c>
      <c r="C63" t="s">
        <v>2847</v>
      </c>
    </row>
    <row r="64" spans="1:3">
      <c r="A64" t="s">
        <v>2848</v>
      </c>
      <c r="B64" t="s">
        <v>2849</v>
      </c>
      <c r="C64" t="s">
        <v>2850</v>
      </c>
    </row>
    <row r="65" spans="1:3">
      <c r="A65" t="s">
        <v>2872</v>
      </c>
      <c r="B65" t="s">
        <v>2873</v>
      </c>
      <c r="C65" t="s">
        <v>2874</v>
      </c>
    </row>
    <row r="66" spans="1:3">
      <c r="A66" t="s">
        <v>2998</v>
      </c>
      <c r="B66" t="s">
        <v>2999</v>
      </c>
      <c r="C66" t="s">
        <v>3000</v>
      </c>
    </row>
    <row r="67" spans="1:3">
      <c r="A67" t="s">
        <v>3040</v>
      </c>
      <c r="B67" t="s">
        <v>3041</v>
      </c>
      <c r="C67" t="s">
        <v>3042</v>
      </c>
    </row>
    <row r="68" spans="1:3">
      <c r="A68" t="s">
        <v>2851</v>
      </c>
      <c r="B68" t="s">
        <v>2852</v>
      </c>
      <c r="C68" t="s">
        <v>2853</v>
      </c>
    </row>
    <row r="69" spans="1:3">
      <c r="A69" t="s">
        <v>2854</v>
      </c>
      <c r="B69" t="s">
        <v>2855</v>
      </c>
      <c r="C69" t="s">
        <v>2856</v>
      </c>
    </row>
    <row r="70" spans="1:3">
      <c r="A70" t="s">
        <v>2902</v>
      </c>
      <c r="B70" t="s">
        <v>2903</v>
      </c>
      <c r="C70" t="s">
        <v>2904</v>
      </c>
    </row>
    <row r="71" spans="1:3">
      <c r="A71" t="s">
        <v>2959</v>
      </c>
      <c r="B71" t="s">
        <v>2960</v>
      </c>
      <c r="C71" t="s">
        <v>2961</v>
      </c>
    </row>
    <row r="72" spans="1:3">
      <c r="A72" t="s">
        <v>2962</v>
      </c>
      <c r="B72" t="s">
        <v>2963</v>
      </c>
      <c r="C72" t="s">
        <v>2964</v>
      </c>
    </row>
    <row r="73" spans="1:3">
      <c r="A73" t="s">
        <v>2905</v>
      </c>
      <c r="B73" t="s">
        <v>2906</v>
      </c>
      <c r="C73" t="s">
        <v>2907</v>
      </c>
    </row>
    <row r="74" spans="1:3">
      <c r="A74" t="s">
        <v>2875</v>
      </c>
      <c r="B74" t="s">
        <v>2876</v>
      </c>
      <c r="C74" t="s">
        <v>2877</v>
      </c>
    </row>
    <row r="75" spans="1:3">
      <c r="A75" t="s">
        <v>2965</v>
      </c>
      <c r="B75" t="s">
        <v>2966</v>
      </c>
      <c r="C75" t="s">
        <v>2967</v>
      </c>
    </row>
    <row r="76" spans="1:3">
      <c r="A76" t="s">
        <v>3043</v>
      </c>
      <c r="B76" t="s">
        <v>3044</v>
      </c>
      <c r="C76" t="s">
        <v>3045</v>
      </c>
    </row>
    <row r="77" spans="1:3">
      <c r="A77" t="s">
        <v>2878</v>
      </c>
      <c r="B77" t="s">
        <v>2879</v>
      </c>
      <c r="C77" t="s">
        <v>2880</v>
      </c>
    </row>
    <row r="78" spans="1:3">
      <c r="A78" t="s">
        <v>2908</v>
      </c>
      <c r="B78" t="s">
        <v>2909</v>
      </c>
      <c r="C78" t="s">
        <v>2910</v>
      </c>
    </row>
    <row r="79" spans="1:3">
      <c r="A79" t="s">
        <v>2935</v>
      </c>
      <c r="B79" t="s">
        <v>2936</v>
      </c>
      <c r="C79" t="s">
        <v>2937</v>
      </c>
    </row>
    <row r="80" spans="1:3">
      <c r="A80" t="s">
        <v>2968</v>
      </c>
      <c r="B80" t="s">
        <v>2969</v>
      </c>
      <c r="C80" t="s">
        <v>2970</v>
      </c>
    </row>
    <row r="81" spans="1:3">
      <c r="A81" t="s">
        <v>3001</v>
      </c>
      <c r="B81" t="s">
        <v>3002</v>
      </c>
      <c r="C81" t="s">
        <v>3003</v>
      </c>
    </row>
    <row r="82" spans="1:3">
      <c r="A82" t="s">
        <v>3004</v>
      </c>
      <c r="B82" t="s">
        <v>3005</v>
      </c>
      <c r="C82" t="s">
        <v>3006</v>
      </c>
    </row>
    <row r="83" spans="1:3">
      <c r="A83" t="s">
        <v>2938</v>
      </c>
      <c r="B83" t="s">
        <v>2939</v>
      </c>
      <c r="C83" t="s">
        <v>2940</v>
      </c>
    </row>
    <row r="84" spans="1:3">
      <c r="A84" t="s">
        <v>2971</v>
      </c>
      <c r="B84" t="s">
        <v>2972</v>
      </c>
      <c r="C84" t="s">
        <v>2973</v>
      </c>
    </row>
    <row r="85" spans="1:3">
      <c r="A85" t="s">
        <v>3046</v>
      </c>
      <c r="B85" t="s">
        <v>3047</v>
      </c>
      <c r="C85" t="s">
        <v>3048</v>
      </c>
    </row>
    <row r="86" spans="1:3">
      <c r="A86" t="s">
        <v>3007</v>
      </c>
      <c r="B86" t="s">
        <v>3008</v>
      </c>
      <c r="C86" t="s">
        <v>3009</v>
      </c>
    </row>
    <row r="87" spans="1:3">
      <c r="A87" t="s">
        <v>2986</v>
      </c>
      <c r="B87" t="s">
        <v>2987</v>
      </c>
      <c r="C87" t="s">
        <v>2988</v>
      </c>
    </row>
    <row r="88" spans="1:3">
      <c r="A88" t="s">
        <v>3010</v>
      </c>
      <c r="B88" t="s">
        <v>3011</v>
      </c>
      <c r="C88" t="s">
        <v>3012</v>
      </c>
    </row>
    <row r="89" spans="1:3">
      <c r="A89" t="s">
        <v>3013</v>
      </c>
      <c r="B89" t="s">
        <v>3014</v>
      </c>
      <c r="C89" t="s">
        <v>3015</v>
      </c>
    </row>
  </sheetData>
  <sortState xmlns:xlrd2="http://schemas.microsoft.com/office/spreadsheetml/2017/richdata2" ref="A1:C89">
    <sortCondition ref="A1:A89"/>
  </sortState>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AP243"/>
  <sheetViews>
    <sheetView workbookViewId="0">
      <selection activeCell="B11" sqref="B11"/>
    </sheetView>
  </sheetViews>
  <sheetFormatPr defaultColWidth="9.140625" defaultRowHeight="12.75"/>
  <cols>
    <col min="1" max="1" width="4" style="263" customWidth="1"/>
    <col min="2" max="2" width="100.7109375" style="263" customWidth="1"/>
    <col min="3" max="42" width="9.140625" style="312"/>
    <col min="43" max="16384" width="9.140625" style="263"/>
  </cols>
  <sheetData>
    <row r="1" spans="1:2" ht="18">
      <c r="A1" s="811" t="s">
        <v>2316</v>
      </c>
      <c r="B1" s="812"/>
    </row>
    <row r="2" spans="1:2">
      <c r="A2" s="318"/>
      <c r="B2" s="318"/>
    </row>
    <row r="3" spans="1:2" ht="30">
      <c r="A3" s="319" t="s">
        <v>124</v>
      </c>
      <c r="B3" s="320" t="s">
        <v>2317</v>
      </c>
    </row>
    <row r="4" spans="1:2" ht="29.25">
      <c r="A4" s="319" t="s">
        <v>125</v>
      </c>
      <c r="B4" s="321" t="s">
        <v>2227</v>
      </c>
    </row>
    <row r="5" spans="1:2" ht="29.25">
      <c r="A5" s="319" t="s">
        <v>126</v>
      </c>
      <c r="B5" s="321" t="s">
        <v>2315</v>
      </c>
    </row>
    <row r="6" spans="1:2" ht="15">
      <c r="A6" s="319"/>
      <c r="B6" s="322" t="s">
        <v>3049</v>
      </c>
    </row>
    <row r="7" spans="1:2" s="312" customFormat="1" ht="15">
      <c r="A7" s="319"/>
      <c r="B7" s="322" t="s">
        <v>3050</v>
      </c>
    </row>
    <row r="8" spans="1:2" s="312" customFormat="1" ht="15">
      <c r="A8" s="319"/>
      <c r="B8" s="321" t="s">
        <v>3051</v>
      </c>
    </row>
    <row r="9" spans="1:2" s="312" customFormat="1" ht="15" customHeight="1">
      <c r="A9" s="319"/>
      <c r="B9" s="321" t="s">
        <v>3052</v>
      </c>
    </row>
    <row r="10" spans="1:2" s="312" customFormat="1" ht="29.25">
      <c r="A10" s="319"/>
      <c r="B10" s="321" t="s">
        <v>3053</v>
      </c>
    </row>
    <row r="11" spans="1:2" s="312" customFormat="1" ht="86.25">
      <c r="A11" s="319"/>
      <c r="B11" s="321" t="s">
        <v>3054</v>
      </c>
    </row>
    <row r="12" spans="1:2" s="312" customFormat="1" ht="29.25">
      <c r="A12" s="319" t="s">
        <v>292</v>
      </c>
      <c r="B12" s="324" t="s">
        <v>2318</v>
      </c>
    </row>
    <row r="13" spans="1:2" s="312" customFormat="1" ht="59.25">
      <c r="A13" s="319" t="s">
        <v>93</v>
      </c>
      <c r="B13" s="321" t="s">
        <v>2319</v>
      </c>
    </row>
    <row r="14" spans="1:2" s="312" customFormat="1" ht="15">
      <c r="A14" s="319" t="s">
        <v>291</v>
      </c>
      <c r="B14" s="321" t="s">
        <v>2651</v>
      </c>
    </row>
    <row r="15" spans="1:2" s="312" customFormat="1" ht="15.75">
      <c r="A15" s="319"/>
      <c r="B15" s="591" t="s">
        <v>2650</v>
      </c>
    </row>
    <row r="16" spans="1:2" s="312" customFormat="1" ht="73.5" customHeight="1">
      <c r="A16" s="319"/>
      <c r="B16" s="321" t="s">
        <v>2649</v>
      </c>
    </row>
    <row r="17" spans="1:2" s="312" customFormat="1" ht="85.5">
      <c r="A17" s="319"/>
      <c r="B17" s="321" t="s">
        <v>2648</v>
      </c>
    </row>
    <row r="18" spans="1:2" s="312" customFormat="1" ht="45" customHeight="1">
      <c r="A18" s="319" t="s">
        <v>290</v>
      </c>
      <c r="B18" s="321" t="s">
        <v>2647</v>
      </c>
    </row>
    <row r="19" spans="1:2" s="312" customFormat="1" ht="15" customHeight="1">
      <c r="A19" s="319"/>
      <c r="B19" s="323" t="s">
        <v>2228</v>
      </c>
    </row>
    <row r="20" spans="1:2" s="312" customFormat="1" ht="14.25">
      <c r="A20" s="319" t="s">
        <v>289</v>
      </c>
      <c r="B20" s="321" t="s">
        <v>2320</v>
      </c>
    </row>
    <row r="21" spans="1:2" s="312" customFormat="1" ht="14.25">
      <c r="A21" s="319"/>
      <c r="B21" s="321" t="s">
        <v>2646</v>
      </c>
    </row>
    <row r="22" spans="1:2" s="312" customFormat="1" ht="14.25">
      <c r="A22" s="319"/>
      <c r="B22" s="321" t="s">
        <v>2628</v>
      </c>
    </row>
    <row r="23" spans="1:2" s="312" customFormat="1">
      <c r="A23" s="318"/>
      <c r="B23" s="318"/>
    </row>
    <row r="24" spans="1:2" s="312" customFormat="1" ht="15.75">
      <c r="A24" s="318"/>
      <c r="B24" s="325" t="s">
        <v>2405</v>
      </c>
    </row>
    <row r="25" spans="1:2" s="312" customFormat="1" ht="14.25">
      <c r="A25" s="318"/>
      <c r="B25" s="326" t="s">
        <v>2229</v>
      </c>
    </row>
    <row r="26" spans="1:2" s="312" customFormat="1" ht="14.25">
      <c r="A26" s="318"/>
      <c r="B26" s="326" t="s">
        <v>2230</v>
      </c>
    </row>
    <row r="27" spans="1:2" s="312" customFormat="1"/>
    <row r="28" spans="1:2" s="312" customFormat="1"/>
    <row r="29" spans="1:2" s="312" customFormat="1"/>
    <row r="30" spans="1:2" s="312" customFormat="1"/>
    <row r="31" spans="1:2" s="312" customFormat="1"/>
    <row r="32" spans="1:2" s="312" customFormat="1"/>
    <row r="33" s="312" customFormat="1"/>
    <row r="34" s="312" customFormat="1"/>
    <row r="35" s="312" customFormat="1"/>
    <row r="36" s="312" customFormat="1"/>
    <row r="37" s="312" customFormat="1"/>
    <row r="38" s="312" customFormat="1"/>
    <row r="39" s="312" customFormat="1"/>
    <row r="40" s="312" customFormat="1"/>
    <row r="41" s="312" customFormat="1"/>
    <row r="42" s="312" customFormat="1"/>
    <row r="43" s="312" customFormat="1"/>
    <row r="44" s="312" customFormat="1"/>
    <row r="45" s="312" customFormat="1"/>
    <row r="46" s="312" customFormat="1"/>
    <row r="47" s="312" customFormat="1"/>
    <row r="48" s="312" customFormat="1"/>
    <row r="49" s="312" customFormat="1"/>
    <row r="50" s="312" customFormat="1"/>
    <row r="51" s="312" customFormat="1"/>
    <row r="52" s="312" customFormat="1"/>
    <row r="53" s="312" customFormat="1"/>
    <row r="54" s="312" customFormat="1"/>
    <row r="55" s="312" customFormat="1"/>
    <row r="56" s="312" customFormat="1"/>
    <row r="57" s="312" customFormat="1"/>
    <row r="58" s="312" customFormat="1"/>
    <row r="59" s="312" customFormat="1"/>
    <row r="60" s="312" customFormat="1"/>
    <row r="61" s="312" customFormat="1"/>
    <row r="62" s="312" customFormat="1"/>
    <row r="63" s="312" customFormat="1"/>
    <row r="64" s="312" customFormat="1"/>
    <row r="65" s="312" customFormat="1"/>
    <row r="66" s="312" customFormat="1"/>
    <row r="67" s="312" customFormat="1"/>
    <row r="68" s="312" customFormat="1"/>
    <row r="69" s="312" customFormat="1"/>
    <row r="70" s="312" customFormat="1"/>
    <row r="71" s="312" customFormat="1"/>
    <row r="72" s="312" customFormat="1"/>
    <row r="73" s="312" customFormat="1"/>
    <row r="74" s="312" customFormat="1"/>
    <row r="75" s="312" customFormat="1"/>
    <row r="76" s="312" customFormat="1"/>
    <row r="77" s="312" customFormat="1"/>
    <row r="78" s="312" customFormat="1"/>
    <row r="79" s="312" customFormat="1"/>
    <row r="80" s="312" customFormat="1"/>
    <row r="81" s="312" customFormat="1"/>
    <row r="82" s="312" customFormat="1"/>
    <row r="83" s="312" customFormat="1"/>
    <row r="84" s="312" customFormat="1"/>
    <row r="85" s="312" customFormat="1"/>
    <row r="86" s="312" customFormat="1"/>
    <row r="87" s="312" customFormat="1"/>
    <row r="88" s="312" customFormat="1"/>
    <row r="89" s="312" customFormat="1"/>
    <row r="90" s="312" customFormat="1"/>
    <row r="91" s="312" customFormat="1"/>
    <row r="92" s="312" customFormat="1"/>
    <row r="93" s="312" customFormat="1"/>
    <row r="94" s="312" customFormat="1"/>
    <row r="95" s="312" customFormat="1"/>
    <row r="96" s="312" customFormat="1"/>
    <row r="97" s="312" customFormat="1"/>
    <row r="98" s="312" customFormat="1"/>
    <row r="99" s="312" customFormat="1"/>
    <row r="100" s="312" customFormat="1"/>
    <row r="101" s="312" customFormat="1"/>
    <row r="102" s="312" customFormat="1"/>
    <row r="103" s="312" customFormat="1"/>
    <row r="104" s="312" customFormat="1"/>
    <row r="105" s="312" customFormat="1"/>
    <row r="106" s="312" customFormat="1"/>
    <row r="107" s="312" customFormat="1"/>
    <row r="108" s="312" customFormat="1"/>
    <row r="109" s="312" customFormat="1"/>
    <row r="110" s="312" customFormat="1"/>
    <row r="111" s="312" customFormat="1"/>
    <row r="112" s="312" customFormat="1"/>
    <row r="113" s="312" customFormat="1"/>
    <row r="114" s="312" customFormat="1"/>
    <row r="115" s="312" customFormat="1"/>
    <row r="116" s="312" customFormat="1"/>
    <row r="117" s="312" customFormat="1"/>
    <row r="118" s="312" customFormat="1"/>
    <row r="119" s="312" customFormat="1"/>
    <row r="120" s="312" customFormat="1"/>
    <row r="121" s="312" customFormat="1"/>
    <row r="122" s="312" customFormat="1"/>
    <row r="123" s="312" customFormat="1"/>
    <row r="124" s="312" customFormat="1"/>
    <row r="125" s="312" customFormat="1"/>
    <row r="126" s="312" customFormat="1"/>
    <row r="127" s="312" customFormat="1"/>
    <row r="128" s="312" customFormat="1"/>
    <row r="129" s="312" customFormat="1"/>
    <row r="130" s="312" customFormat="1"/>
    <row r="131" s="312" customFormat="1"/>
    <row r="132" s="312" customFormat="1"/>
    <row r="133" s="312" customFormat="1"/>
    <row r="134" s="312" customFormat="1"/>
    <row r="135" s="312" customFormat="1"/>
    <row r="136" s="312" customFormat="1"/>
    <row r="137" s="312" customFormat="1"/>
    <row r="138" s="312" customFormat="1"/>
    <row r="139" s="312" customFormat="1"/>
    <row r="140" s="312" customFormat="1"/>
    <row r="141" s="312" customFormat="1"/>
    <row r="142" s="312" customFormat="1"/>
    <row r="143" s="312" customFormat="1"/>
    <row r="144" s="312" customFormat="1"/>
    <row r="145" s="312" customFormat="1"/>
    <row r="146" s="312" customFormat="1"/>
    <row r="147" s="312" customFormat="1"/>
    <row r="148" s="312" customFormat="1"/>
    <row r="149" s="312" customFormat="1"/>
    <row r="150" s="312" customFormat="1"/>
    <row r="151" s="312" customFormat="1"/>
    <row r="152" s="312" customFormat="1"/>
    <row r="153" s="312" customFormat="1"/>
    <row r="154" s="312" customFormat="1"/>
    <row r="155" s="312" customFormat="1"/>
    <row r="156" s="312" customFormat="1"/>
    <row r="157" s="312" customFormat="1"/>
    <row r="158" s="312" customFormat="1"/>
    <row r="159" s="312" customFormat="1"/>
    <row r="160" s="312" customFormat="1"/>
    <row r="161" s="312" customFormat="1"/>
    <row r="162" s="312" customFormat="1"/>
    <row r="163" s="312" customFormat="1"/>
    <row r="164" s="312" customFormat="1"/>
    <row r="165" s="312" customFormat="1"/>
    <row r="166" s="312" customFormat="1"/>
    <row r="167" s="312" customFormat="1"/>
    <row r="168" s="312" customFormat="1"/>
    <row r="169" s="312" customFormat="1"/>
    <row r="170" s="312" customFormat="1"/>
    <row r="171" s="312" customFormat="1"/>
    <row r="172" s="312" customFormat="1"/>
    <row r="173" s="312" customFormat="1"/>
    <row r="174" s="312" customFormat="1"/>
    <row r="175" s="312" customFormat="1"/>
    <row r="176" s="312" customFormat="1"/>
    <row r="177" s="312" customFormat="1"/>
    <row r="178" s="312" customFormat="1"/>
    <row r="179" s="312" customFormat="1"/>
    <row r="180" s="312" customFormat="1"/>
    <row r="181" s="312" customFormat="1"/>
    <row r="182" s="312" customFormat="1"/>
    <row r="183" s="312" customFormat="1"/>
    <row r="184" s="312" customFormat="1"/>
    <row r="185" s="312" customFormat="1"/>
    <row r="186" s="312" customFormat="1"/>
    <row r="187" s="312" customFormat="1"/>
    <row r="188" s="312" customFormat="1"/>
    <row r="189" s="312" customFormat="1"/>
    <row r="190" s="312" customFormat="1"/>
    <row r="191" s="312" customFormat="1"/>
    <row r="192" s="312" customFormat="1"/>
    <row r="193" s="312" customFormat="1"/>
    <row r="194" s="312" customFormat="1"/>
    <row r="195" s="312" customFormat="1"/>
    <row r="196" s="312" customFormat="1"/>
    <row r="197" s="312" customFormat="1"/>
    <row r="198" s="312" customFormat="1"/>
    <row r="199" s="312" customFormat="1"/>
    <row r="200" s="312" customFormat="1"/>
    <row r="201" s="312" customFormat="1"/>
    <row r="202" s="312" customFormat="1"/>
    <row r="203" s="312" customFormat="1"/>
    <row r="204" s="312" customFormat="1"/>
    <row r="205" s="312" customFormat="1"/>
    <row r="206" s="312" customFormat="1"/>
    <row r="207" s="312" customFormat="1"/>
    <row r="208" s="312" customFormat="1"/>
    <row r="209" s="312" customFormat="1"/>
    <row r="210" s="312" customFormat="1"/>
    <row r="211" s="312" customFormat="1"/>
    <row r="212" s="312" customFormat="1"/>
    <row r="213" s="312" customFormat="1"/>
    <row r="214" s="312" customFormat="1"/>
    <row r="215" s="312" customFormat="1"/>
    <row r="216" s="312" customFormat="1"/>
    <row r="217" s="312" customFormat="1"/>
    <row r="218" s="312" customFormat="1"/>
    <row r="219" s="312" customFormat="1"/>
    <row r="220" s="312" customFormat="1"/>
    <row r="221" s="312" customFormat="1"/>
    <row r="222" s="312" customFormat="1"/>
    <row r="223" s="312" customFormat="1"/>
    <row r="224" s="312" customFormat="1"/>
    <row r="225" s="312" customFormat="1"/>
    <row r="226" s="312" customFormat="1"/>
    <row r="227" s="312" customFormat="1"/>
    <row r="228" s="312" customFormat="1"/>
    <row r="229" s="312" customFormat="1"/>
    <row r="230" s="312" customFormat="1"/>
    <row r="231" s="312" customFormat="1"/>
    <row r="232" s="312" customFormat="1"/>
    <row r="233" s="312" customFormat="1"/>
    <row r="234" s="312" customFormat="1"/>
    <row r="235" s="312" customFormat="1"/>
    <row r="236" s="312" customFormat="1"/>
    <row r="237" s="312" customFormat="1"/>
    <row r="238" s="312" customFormat="1"/>
    <row r="239" s="312" customFormat="1"/>
    <row r="240" s="312" customFormat="1"/>
    <row r="241" s="312" customFormat="1"/>
    <row r="242" s="312" customFormat="1"/>
    <row r="243" s="312" customFormat="1"/>
  </sheetData>
  <sheetProtection algorithmName="SHA-512" hashValue="j9SOPjIRWG5lDHaw8f3hqP7g3A+E3TYwWjNapVIDL2UgOu0NoZm86T+C/VeBjP0imwGEd50IPd5FGoU9O9Od3w==" saltValue="7wB2jSGXND5iiNszw/Qh7A==" spinCount="100000" sheet="1" objects="1" scenarios="1"/>
  <mergeCells count="1">
    <mergeCell ref="A1:B1"/>
  </mergeCells>
  <hyperlinks>
    <hyperlink ref="B19" r:id="rId1" xr:uid="{00000000-0004-0000-0300-000000000000}"/>
    <hyperlink ref="B15" r:id="rId2" xr:uid="{00000000-0004-0000-0300-000001000000}"/>
  </hyperlinks>
  <pageMargins left="0.39370078740157483" right="0.39370078740157483" top="0.39370078740157483" bottom="0.39370078740157483" header="0.31496062992125984" footer="0.31496062992125984"/>
  <pageSetup paperSize="9" scale="9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4">
    <tabColor rgb="FFFFFFCC"/>
    <pageSetUpPr fitToPage="1"/>
  </sheetPr>
  <dimension ref="A1:AP246"/>
  <sheetViews>
    <sheetView workbookViewId="0">
      <selection activeCell="B15" sqref="B15"/>
    </sheetView>
  </sheetViews>
  <sheetFormatPr defaultColWidth="9.140625" defaultRowHeight="12.75"/>
  <cols>
    <col min="1" max="1" width="4" style="263" customWidth="1"/>
    <col min="2" max="2" width="100.7109375" style="263" customWidth="1"/>
    <col min="3" max="42" width="9.140625" style="312"/>
    <col min="43" max="16384" width="9.140625" style="263"/>
  </cols>
  <sheetData>
    <row r="1" spans="1:2" ht="18">
      <c r="A1" s="811" t="s">
        <v>2662</v>
      </c>
      <c r="B1" s="812"/>
    </row>
    <row r="2" spans="1:2">
      <c r="A2" s="318"/>
      <c r="B2" s="318"/>
    </row>
    <row r="3" spans="1:2" ht="28.5" customHeight="1">
      <c r="A3" s="319" t="s">
        <v>124</v>
      </c>
      <c r="B3" s="321" t="s">
        <v>2661</v>
      </c>
    </row>
    <row r="4" spans="1:2" ht="43.5">
      <c r="A4" s="319" t="s">
        <v>125</v>
      </c>
      <c r="B4" s="321" t="s">
        <v>2660</v>
      </c>
    </row>
    <row r="5" spans="1:2" ht="28.5">
      <c r="A5" s="319" t="s">
        <v>126</v>
      </c>
      <c r="B5" s="321" t="s">
        <v>2659</v>
      </c>
    </row>
    <row r="6" spans="1:2" ht="29.25">
      <c r="A6" s="319" t="s">
        <v>292</v>
      </c>
      <c r="B6" s="593" t="s">
        <v>2658</v>
      </c>
    </row>
    <row r="7" spans="1:2" s="312" customFormat="1" ht="43.5">
      <c r="A7" s="319" t="s">
        <v>93</v>
      </c>
      <c r="B7" s="593" t="s">
        <v>2657</v>
      </c>
    </row>
    <row r="8" spans="1:2" s="312" customFormat="1" ht="43.5">
      <c r="A8" s="319" t="s">
        <v>291</v>
      </c>
      <c r="B8" s="320" t="s">
        <v>2656</v>
      </c>
    </row>
    <row r="9" spans="1:2" s="312" customFormat="1" ht="30">
      <c r="A9" s="319" t="s">
        <v>290</v>
      </c>
      <c r="B9" s="320" t="s">
        <v>2655</v>
      </c>
    </row>
    <row r="10" spans="1:2" s="312" customFormat="1" ht="29.25">
      <c r="A10" s="319" t="s">
        <v>2654</v>
      </c>
      <c r="B10" s="321" t="s">
        <v>2653</v>
      </c>
    </row>
    <row r="11" spans="1:2" s="312" customFormat="1" ht="30">
      <c r="A11" s="319" t="s">
        <v>288</v>
      </c>
      <c r="B11" s="592" t="s">
        <v>2652</v>
      </c>
    </row>
    <row r="12" spans="1:2" s="312" customFormat="1" ht="15">
      <c r="A12" s="319"/>
      <c r="B12" s="592"/>
    </row>
    <row r="13" spans="1:2" s="312" customFormat="1" ht="18">
      <c r="A13" s="811" t="s">
        <v>2663</v>
      </c>
      <c r="B13" s="812"/>
    </row>
    <row r="14" spans="1:2" s="312" customFormat="1" ht="18">
      <c r="A14" s="594"/>
      <c r="B14" s="318"/>
    </row>
    <row r="15" spans="1:2" s="312" customFormat="1" ht="75" customHeight="1">
      <c r="A15" s="319" t="s">
        <v>124</v>
      </c>
      <c r="B15" s="622" t="s">
        <v>2749</v>
      </c>
    </row>
    <row r="16" spans="1:2" s="312" customFormat="1" ht="20.100000000000001" customHeight="1">
      <c r="A16" s="319"/>
      <c r="B16" s="646" t="s">
        <v>2781</v>
      </c>
    </row>
    <row r="17" spans="1:2" s="312" customFormat="1" ht="20.100000000000001" customHeight="1">
      <c r="A17" s="319"/>
      <c r="B17" s="647" t="str">
        <f>HYPERLINK("https://businesscenter.podnikatel.cz/sablony/prehled-osvc-cssz-xml/")</f>
        <v>https://businesscenter.podnikatel.cz/sablony/prehled-osvc-cssz-xml/</v>
      </c>
    </row>
    <row r="18" spans="1:2" s="312" customFormat="1" ht="43.5">
      <c r="A18" s="319" t="s">
        <v>125</v>
      </c>
      <c r="B18" s="320" t="s">
        <v>2665</v>
      </c>
    </row>
    <row r="19" spans="1:2" s="312" customFormat="1" ht="30">
      <c r="A19" s="319" t="s">
        <v>126</v>
      </c>
      <c r="B19" s="320" t="s">
        <v>2664</v>
      </c>
    </row>
    <row r="20" spans="1:2" s="312" customFormat="1" ht="14.25">
      <c r="A20" s="319"/>
      <c r="B20" s="321"/>
    </row>
    <row r="21" spans="1:2" s="312" customFormat="1" ht="15.75">
      <c r="A21" s="319"/>
      <c r="B21" s="325" t="s">
        <v>2405</v>
      </c>
    </row>
    <row r="22" spans="1:2" s="312" customFormat="1" ht="14.25">
      <c r="A22" s="319"/>
      <c r="B22" s="326" t="s">
        <v>2229</v>
      </c>
    </row>
    <row r="23" spans="1:2" s="312" customFormat="1" ht="14.25">
      <c r="A23" s="319"/>
      <c r="B23" s="326" t="s">
        <v>2230</v>
      </c>
    </row>
    <row r="24" spans="1:2" s="312" customFormat="1" ht="45" customHeight="1">
      <c r="A24" s="319"/>
      <c r="B24" s="321"/>
    </row>
    <row r="25" spans="1:2" s="312" customFormat="1" ht="45" customHeight="1">
      <c r="A25" s="319"/>
      <c r="B25" s="321"/>
    </row>
    <row r="26" spans="1:2" s="312" customFormat="1" ht="45" customHeight="1">
      <c r="A26" s="318"/>
      <c r="B26" s="318"/>
    </row>
    <row r="27" spans="1:2" s="312" customFormat="1" ht="45" customHeight="1">
      <c r="A27" s="318"/>
      <c r="B27" s="325"/>
    </row>
    <row r="28" spans="1:2" s="312" customFormat="1" ht="45" customHeight="1">
      <c r="A28" s="318"/>
      <c r="B28" s="326"/>
    </row>
    <row r="29" spans="1:2" s="312" customFormat="1" ht="45" customHeight="1">
      <c r="A29" s="318"/>
      <c r="B29" s="326"/>
    </row>
    <row r="30" spans="1:2" s="312" customFormat="1"/>
    <row r="31" spans="1:2" s="312" customFormat="1"/>
    <row r="32" spans="1:2" s="312" customFormat="1"/>
    <row r="33" s="312" customFormat="1"/>
    <row r="34" s="312" customFormat="1"/>
    <row r="35" s="312" customFormat="1"/>
    <row r="36" s="312" customFormat="1"/>
    <row r="37" s="312" customFormat="1"/>
    <row r="38" s="312" customFormat="1"/>
    <row r="39" s="312" customFormat="1"/>
    <row r="40" s="312" customFormat="1"/>
    <row r="41" s="312" customFormat="1"/>
    <row r="42" s="312" customFormat="1"/>
    <row r="43" s="312" customFormat="1"/>
    <row r="44" s="312" customFormat="1"/>
    <row r="45" s="312" customFormat="1"/>
    <row r="46" s="312" customFormat="1"/>
    <row r="47" s="312" customFormat="1"/>
    <row r="48" s="312" customFormat="1"/>
    <row r="49" s="312" customFormat="1"/>
    <row r="50" s="312" customFormat="1"/>
    <row r="51" s="312" customFormat="1"/>
    <row r="52" s="312" customFormat="1"/>
    <row r="53" s="312" customFormat="1"/>
    <row r="54" s="312" customFormat="1"/>
    <row r="55" s="312" customFormat="1"/>
    <row r="56" s="312" customFormat="1"/>
    <row r="57" s="312" customFormat="1"/>
    <row r="58" s="312" customFormat="1"/>
    <row r="59" s="312" customFormat="1"/>
    <row r="60" s="312" customFormat="1"/>
    <row r="61" s="312" customFormat="1"/>
    <row r="62" s="312" customFormat="1"/>
    <row r="63" s="312" customFormat="1"/>
    <row r="64" s="312" customFormat="1"/>
    <row r="65" s="312" customFormat="1"/>
    <row r="66" s="312" customFormat="1"/>
    <row r="67" s="312" customFormat="1"/>
    <row r="68" s="312" customFormat="1"/>
    <row r="69" s="312" customFormat="1"/>
    <row r="70" s="312" customFormat="1"/>
    <row r="71" s="312" customFormat="1"/>
    <row r="72" s="312" customFormat="1"/>
    <row r="73" s="312" customFormat="1"/>
    <row r="74" s="312" customFormat="1"/>
    <row r="75" s="312" customFormat="1"/>
    <row r="76" s="312" customFormat="1"/>
    <row r="77" s="312" customFormat="1"/>
    <row r="78" s="312" customFormat="1"/>
    <row r="79" s="312" customFormat="1"/>
    <row r="80" s="312" customFormat="1"/>
    <row r="81" s="312" customFormat="1"/>
    <row r="82" s="312" customFormat="1"/>
    <row r="83" s="312" customFormat="1"/>
    <row r="84" s="312" customFormat="1"/>
    <row r="85" s="312" customFormat="1"/>
    <row r="86" s="312" customFormat="1"/>
    <row r="87" s="312" customFormat="1"/>
    <row r="88" s="312" customFormat="1"/>
    <row r="89" s="312" customFormat="1"/>
    <row r="90" s="312" customFormat="1"/>
    <row r="91" s="312" customFormat="1"/>
    <row r="92" s="312" customFormat="1"/>
    <row r="93" s="312" customFormat="1"/>
    <row r="94" s="312" customFormat="1"/>
    <row r="95" s="312" customFormat="1"/>
    <row r="96" s="312" customFormat="1"/>
    <row r="97" s="312" customFormat="1"/>
    <row r="98" s="312" customFormat="1"/>
    <row r="99" s="312" customFormat="1"/>
    <row r="100" s="312" customFormat="1"/>
    <row r="101" s="312" customFormat="1"/>
    <row r="102" s="312" customFormat="1"/>
    <row r="103" s="312" customFormat="1"/>
    <row r="104" s="312" customFormat="1"/>
    <row r="105" s="312" customFormat="1"/>
    <row r="106" s="312" customFormat="1"/>
    <row r="107" s="312" customFormat="1"/>
    <row r="108" s="312" customFormat="1"/>
    <row r="109" s="312" customFormat="1"/>
    <row r="110" s="312" customFormat="1"/>
    <row r="111" s="312" customFormat="1"/>
    <row r="112" s="312" customFormat="1"/>
    <row r="113" s="312" customFormat="1"/>
    <row r="114" s="312" customFormat="1"/>
    <row r="115" s="312" customFormat="1"/>
    <row r="116" s="312" customFormat="1"/>
    <row r="117" s="312" customFormat="1"/>
    <row r="118" s="312" customFormat="1"/>
    <row r="119" s="312" customFormat="1"/>
    <row r="120" s="312" customFormat="1"/>
    <row r="121" s="312" customFormat="1"/>
    <row r="122" s="312" customFormat="1"/>
    <row r="123" s="312" customFormat="1"/>
    <row r="124" s="312" customFormat="1"/>
    <row r="125" s="312" customFormat="1"/>
    <row r="126" s="312" customFormat="1"/>
    <row r="127" s="312" customFormat="1"/>
    <row r="128" s="312" customFormat="1"/>
    <row r="129" s="312" customFormat="1"/>
    <row r="130" s="312" customFormat="1"/>
    <row r="131" s="312" customFormat="1"/>
    <row r="132" s="312" customFormat="1"/>
    <row r="133" s="312" customFormat="1"/>
    <row r="134" s="312" customFormat="1"/>
    <row r="135" s="312" customFormat="1"/>
    <row r="136" s="312" customFormat="1"/>
    <row r="137" s="312" customFormat="1"/>
    <row r="138" s="312" customFormat="1"/>
    <row r="139" s="312" customFormat="1"/>
    <row r="140" s="312" customFormat="1"/>
    <row r="141" s="312" customFormat="1"/>
    <row r="142" s="312" customFormat="1"/>
    <row r="143" s="312" customFormat="1"/>
    <row r="144" s="312" customFormat="1"/>
    <row r="145" s="312" customFormat="1"/>
    <row r="146" s="312" customFormat="1"/>
    <row r="147" s="312" customFormat="1"/>
    <row r="148" s="312" customFormat="1"/>
    <row r="149" s="312" customFormat="1"/>
    <row r="150" s="312" customFormat="1"/>
    <row r="151" s="312" customFormat="1"/>
    <row r="152" s="312" customFormat="1"/>
    <row r="153" s="312" customFormat="1"/>
    <row r="154" s="312" customFormat="1"/>
    <row r="155" s="312" customFormat="1"/>
    <row r="156" s="312" customFormat="1"/>
    <row r="157" s="312" customFormat="1"/>
    <row r="158" s="312" customFormat="1"/>
    <row r="159" s="312" customFormat="1"/>
    <row r="160" s="312" customFormat="1"/>
    <row r="161" s="312" customFormat="1"/>
    <row r="162" s="312" customFormat="1"/>
    <row r="163" s="312" customFormat="1"/>
    <row r="164" s="312" customFormat="1"/>
    <row r="165" s="312" customFormat="1"/>
    <row r="166" s="312" customFormat="1"/>
    <row r="167" s="312" customFormat="1"/>
    <row r="168" s="312" customFormat="1"/>
    <row r="169" s="312" customFormat="1"/>
    <row r="170" s="312" customFormat="1"/>
    <row r="171" s="312" customFormat="1"/>
    <row r="172" s="312" customFormat="1"/>
    <row r="173" s="312" customFormat="1"/>
    <row r="174" s="312" customFormat="1"/>
    <row r="175" s="312" customFormat="1"/>
    <row r="176" s="312" customFormat="1"/>
    <row r="177" s="312" customFormat="1"/>
    <row r="178" s="312" customFormat="1"/>
    <row r="179" s="312" customFormat="1"/>
    <row r="180" s="312" customFormat="1"/>
    <row r="181" s="312" customFormat="1"/>
    <row r="182" s="312" customFormat="1"/>
    <row r="183" s="312" customFormat="1"/>
    <row r="184" s="312" customFormat="1"/>
    <row r="185" s="312" customFormat="1"/>
    <row r="186" s="312" customFormat="1"/>
    <row r="187" s="312" customFormat="1"/>
    <row r="188" s="312" customFormat="1"/>
    <row r="189" s="312" customFormat="1"/>
    <row r="190" s="312" customFormat="1"/>
    <row r="191" s="312" customFormat="1"/>
    <row r="192" s="312" customFormat="1"/>
    <row r="193" s="312" customFormat="1"/>
    <row r="194" s="312" customFormat="1"/>
    <row r="195" s="312" customFormat="1"/>
    <row r="196" s="312" customFormat="1"/>
    <row r="197" s="312" customFormat="1"/>
    <row r="198" s="312" customFormat="1"/>
    <row r="199" s="312" customFormat="1"/>
    <row r="200" s="312" customFormat="1"/>
    <row r="201" s="312" customFormat="1"/>
    <row r="202" s="312" customFormat="1"/>
    <row r="203" s="312" customFormat="1"/>
    <row r="204" s="312" customFormat="1"/>
    <row r="205" s="312" customFormat="1"/>
    <row r="206" s="312" customFormat="1"/>
    <row r="207" s="312" customFormat="1"/>
    <row r="208" s="312" customFormat="1"/>
    <row r="209" s="312" customFormat="1"/>
    <row r="210" s="312" customFormat="1"/>
    <row r="211" s="312" customFormat="1"/>
    <row r="212" s="312" customFormat="1"/>
    <row r="213" s="312" customFormat="1"/>
    <row r="214" s="312" customFormat="1"/>
    <row r="215" s="312" customFormat="1"/>
    <row r="216" s="312" customFormat="1"/>
    <row r="217" s="312" customFormat="1"/>
    <row r="218" s="312" customFormat="1"/>
    <row r="219" s="312" customFormat="1"/>
    <row r="220" s="312" customFormat="1"/>
    <row r="221" s="312" customFormat="1"/>
    <row r="222" s="312" customFormat="1"/>
    <row r="223" s="312" customFormat="1"/>
    <row r="224" s="312" customFormat="1"/>
    <row r="225" s="312" customFormat="1"/>
    <row r="226" s="312" customFormat="1"/>
    <row r="227" s="312" customFormat="1"/>
    <row r="228" s="312" customFormat="1"/>
    <row r="229" s="312" customFormat="1"/>
    <row r="230" s="312" customFormat="1"/>
    <row r="231" s="312" customFormat="1"/>
    <row r="232" s="312" customFormat="1"/>
    <row r="233" s="312" customFormat="1"/>
    <row r="234" s="312" customFormat="1"/>
    <row r="235" s="312" customFormat="1"/>
    <row r="236" s="312" customFormat="1"/>
    <row r="237" s="312" customFormat="1"/>
    <row r="238" s="312" customFormat="1"/>
    <row r="239" s="312" customFormat="1"/>
    <row r="240" s="312" customFormat="1"/>
    <row r="241" s="312" customFormat="1"/>
    <row r="242" s="312" customFormat="1"/>
    <row r="243" s="312" customFormat="1"/>
    <row r="244" s="312" customFormat="1"/>
    <row r="245" s="312" customFormat="1"/>
    <row r="246" s="312" customFormat="1"/>
  </sheetData>
  <sheetProtection algorithmName="SHA-512" hashValue="4lKl/F05gSYBM4TWalr08HSz6pewZ1ElAOjbVaHn5DdGc1QnPvOP1olB1hPwFk1gysD+nOoMNc6rkZsuvjtq1Q==" saltValue="YnaGeTNDxTZzUJQQbYqH3w==" spinCount="100000" sheet="1" objects="1" scenarios="1"/>
  <mergeCells count="2">
    <mergeCell ref="A1:B1"/>
    <mergeCell ref="A13:B13"/>
  </mergeCells>
  <pageMargins left="0.39370078740157483" right="0.39370078740157483" top="0.39370078740157483" bottom="0.3937007874015748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217"/>
  <sheetViews>
    <sheetView workbookViewId="0">
      <selection activeCell="A21" sqref="A21"/>
    </sheetView>
  </sheetViews>
  <sheetFormatPr defaultRowHeight="12.75"/>
  <cols>
    <col min="1" max="1" width="28.140625" style="72" customWidth="1"/>
    <col min="2" max="2" width="65.7109375" style="72" customWidth="1"/>
    <col min="3" max="3" width="3" style="72" customWidth="1"/>
    <col min="4" max="4" width="65.7109375" style="72" customWidth="1"/>
    <col min="5" max="5" width="28.28515625" style="72" customWidth="1"/>
    <col min="6" max="37" width="9.140625" style="21"/>
  </cols>
  <sheetData>
    <row r="1" spans="1:37" s="102" customFormat="1" ht="18">
      <c r="A1" s="821" t="s">
        <v>307</v>
      </c>
      <c r="B1" s="822"/>
      <c r="C1" s="822"/>
      <c r="D1" s="822"/>
      <c r="E1" s="822"/>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row>
    <row r="2" spans="1:37" s="102" customFormat="1" ht="18">
      <c r="A2" s="252"/>
      <c r="B2" s="315" t="s">
        <v>2321</v>
      </c>
      <c r="C2" s="253"/>
      <c r="D2" s="523" t="s">
        <v>162</v>
      </c>
      <c r="E2" s="2"/>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row>
    <row r="3" spans="1:37" s="102" customFormat="1" ht="15.95" customHeight="1">
      <c r="A3" s="172"/>
      <c r="B3" s="173" t="s">
        <v>308</v>
      </c>
      <c r="C3" s="136"/>
      <c r="D3" s="173" t="s">
        <v>309</v>
      </c>
      <c r="E3" s="169"/>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row>
    <row r="4" spans="1:37" s="102" customFormat="1" ht="15.95" customHeight="1">
      <c r="A4" s="359" t="s">
        <v>2380</v>
      </c>
      <c r="B4" s="185"/>
      <c r="C4" s="175"/>
      <c r="D4" s="826"/>
      <c r="E4" s="358" t="s">
        <v>2377</v>
      </c>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row>
    <row r="5" spans="1:37" s="102" customFormat="1" ht="15.95" customHeight="1">
      <c r="A5" s="359" t="s">
        <v>2381</v>
      </c>
      <c r="B5" s="186"/>
      <c r="C5" s="176"/>
      <c r="D5" s="827"/>
      <c r="E5" s="136"/>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row>
    <row r="6" spans="1:37" s="102" customFormat="1" ht="15.95" customHeight="1">
      <c r="A6" s="359" t="s">
        <v>2391</v>
      </c>
      <c r="B6" s="186"/>
      <c r="C6" s="176"/>
      <c r="D6" s="827"/>
      <c r="E6" s="136"/>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row>
    <row r="7" spans="1:37" s="102" customFormat="1" ht="15.95" customHeight="1">
      <c r="A7" s="359" t="s">
        <v>2382</v>
      </c>
      <c r="B7" s="186"/>
      <c r="C7" s="176"/>
      <c r="D7" s="187"/>
      <c r="E7" s="358" t="s">
        <v>2378</v>
      </c>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row>
    <row r="8" spans="1:37" s="102" customFormat="1" ht="15.95" customHeight="1">
      <c r="A8" s="359" t="s">
        <v>2392</v>
      </c>
      <c r="B8" s="188"/>
      <c r="C8" s="176"/>
      <c r="D8" s="187"/>
      <c r="E8" s="136"/>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row>
    <row r="9" spans="1:37" s="102" customFormat="1" ht="15.95" customHeight="1">
      <c r="A9" s="359" t="s">
        <v>34</v>
      </c>
      <c r="B9" s="189"/>
      <c r="C9" s="176"/>
      <c r="D9" s="187"/>
      <c r="E9" s="136"/>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row>
    <row r="10" spans="1:37" s="102" customFormat="1" ht="15.95" customHeight="1">
      <c r="A10" s="359" t="s">
        <v>2379</v>
      </c>
      <c r="B10" s="189"/>
      <c r="C10" s="176"/>
      <c r="D10" s="190"/>
      <c r="E10" s="358" t="s">
        <v>2379</v>
      </c>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row>
    <row r="11" spans="1:37" s="102" customFormat="1" ht="15.95" customHeight="1">
      <c r="A11" s="359" t="s">
        <v>2393</v>
      </c>
      <c r="B11" s="521"/>
      <c r="C11" s="176"/>
      <c r="D11" s="187"/>
      <c r="E11" s="136"/>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row>
    <row r="12" spans="1:37" s="102" customFormat="1" ht="15.95" customHeight="1">
      <c r="A12" s="174"/>
      <c r="B12" s="818"/>
      <c r="C12" s="819"/>
      <c r="D12" s="820"/>
      <c r="E12" s="136"/>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row>
    <row r="13" spans="1:37" s="102" customFormat="1" ht="15.95" customHeight="1">
      <c r="A13" s="360" t="s">
        <v>2394</v>
      </c>
      <c r="B13" s="191"/>
      <c r="C13" s="522"/>
      <c r="D13" s="192"/>
      <c r="E13" s="177" t="s">
        <v>312</v>
      </c>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row>
    <row r="14" spans="1:37" s="102" customFormat="1" ht="15.95" customHeight="1">
      <c r="A14" s="360" t="s">
        <v>2395</v>
      </c>
      <c r="B14" s="191"/>
      <c r="C14" s="176"/>
      <c r="D14" s="192"/>
      <c r="E14" s="358" t="s">
        <v>2380</v>
      </c>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row>
    <row r="15" spans="1:37" s="102" customFormat="1" ht="15.95" customHeight="1">
      <c r="A15" s="178" t="s">
        <v>314</v>
      </c>
      <c r="B15" s="191"/>
      <c r="C15" s="176"/>
      <c r="D15" s="192"/>
      <c r="E15" s="358" t="s">
        <v>2381</v>
      </c>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row>
    <row r="16" spans="1:37" s="102" customFormat="1" ht="15.95" customHeight="1">
      <c r="A16" s="359" t="s">
        <v>2396</v>
      </c>
      <c r="B16" s="191"/>
      <c r="C16" s="176"/>
      <c r="D16" s="192"/>
      <c r="E16" s="358" t="s">
        <v>2382</v>
      </c>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row>
    <row r="17" spans="1:37" s="102" customFormat="1" ht="15.95" customHeight="1">
      <c r="A17" s="359" t="s">
        <v>2386</v>
      </c>
      <c r="B17" s="261"/>
      <c r="C17" s="176"/>
      <c r="D17" s="192"/>
      <c r="E17" s="358" t="s">
        <v>2383</v>
      </c>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row>
    <row r="18" spans="1:37" s="102" customFormat="1" ht="15.95" customHeight="1">
      <c r="A18" s="359" t="s">
        <v>2387</v>
      </c>
      <c r="B18" s="191"/>
      <c r="C18" s="176"/>
      <c r="D18" s="192"/>
      <c r="E18" s="136"/>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row>
    <row r="19" spans="1:37" s="102" customFormat="1" ht="15.95" customHeight="1">
      <c r="A19" s="359" t="s">
        <v>2388</v>
      </c>
      <c r="B19" s="193"/>
      <c r="C19" s="522"/>
      <c r="D19" s="192"/>
      <c r="E19" s="177" t="s">
        <v>311</v>
      </c>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row>
    <row r="20" spans="1:37" s="102" customFormat="1" ht="15.95" customHeight="1">
      <c r="A20" s="360" t="s">
        <v>2397</v>
      </c>
      <c r="B20" s="191"/>
      <c r="C20" s="176"/>
      <c r="D20" s="192"/>
      <c r="E20" s="358" t="s">
        <v>2380</v>
      </c>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row>
    <row r="21" spans="1:37" s="102" customFormat="1" ht="15.95" customHeight="1">
      <c r="A21" s="360" t="s">
        <v>2780</v>
      </c>
      <c r="B21" s="191"/>
      <c r="C21" s="176"/>
      <c r="D21" s="192"/>
      <c r="E21" s="358" t="s">
        <v>2381</v>
      </c>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row>
    <row r="22" spans="1:37" s="102" customFormat="1" ht="15.95" customHeight="1">
      <c r="A22" s="174"/>
      <c r="B22" s="191"/>
      <c r="C22" s="176"/>
      <c r="D22" s="192"/>
      <c r="E22" s="358" t="s">
        <v>2382</v>
      </c>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row>
    <row r="23" spans="1:37" s="102" customFormat="1" ht="15.95" customHeight="1">
      <c r="A23" s="178" t="s">
        <v>2398</v>
      </c>
      <c r="B23" s="191"/>
      <c r="C23" s="176"/>
      <c r="D23" s="194"/>
      <c r="E23" s="358" t="s">
        <v>2384</v>
      </c>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row>
    <row r="24" spans="1:37" s="102" customFormat="1" ht="15.95" customHeight="1">
      <c r="A24" s="174"/>
      <c r="B24" s="191"/>
      <c r="C24" s="176"/>
      <c r="D24" s="192"/>
      <c r="E24" s="358" t="s">
        <v>2385</v>
      </c>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row>
    <row r="25" spans="1:37" s="102" customFormat="1" ht="15.95" customHeight="1">
      <c r="A25" s="359" t="s">
        <v>2384</v>
      </c>
      <c r="B25" s="195"/>
      <c r="C25" s="176"/>
      <c r="D25" s="196"/>
      <c r="E25" s="358" t="s">
        <v>2386</v>
      </c>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row>
    <row r="26" spans="1:37" s="102" customFormat="1" ht="15.95" customHeight="1">
      <c r="A26" s="359" t="s">
        <v>2399</v>
      </c>
      <c r="B26" s="195"/>
      <c r="C26" s="176"/>
      <c r="D26" s="192"/>
      <c r="E26" s="358" t="s">
        <v>2387</v>
      </c>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row>
    <row r="27" spans="1:37" s="102" customFormat="1" ht="15.95" customHeight="1">
      <c r="A27" s="359" t="s">
        <v>2390</v>
      </c>
      <c r="B27" s="394"/>
      <c r="C27" s="176"/>
      <c r="D27" s="197"/>
      <c r="E27" s="358" t="s">
        <v>2388</v>
      </c>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row>
    <row r="28" spans="1:37" s="102" customFormat="1" ht="15.95" customHeight="1">
      <c r="A28" s="359" t="s">
        <v>2400</v>
      </c>
      <c r="B28" s="191"/>
      <c r="C28" s="176"/>
      <c r="D28" s="192"/>
      <c r="E28" s="136"/>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row>
    <row r="29" spans="1:37" s="102" customFormat="1" ht="15.95" customHeight="1">
      <c r="A29" s="360" t="s">
        <v>2401</v>
      </c>
      <c r="B29" s="824"/>
      <c r="C29" s="522"/>
      <c r="D29" s="192"/>
      <c r="E29" s="177" t="s">
        <v>313</v>
      </c>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row>
    <row r="30" spans="1:37" s="102" customFormat="1" ht="15.95" customHeight="1">
      <c r="A30" s="311"/>
      <c r="B30" s="825"/>
      <c r="C30" s="176"/>
      <c r="D30" s="192"/>
      <c r="E30" s="358" t="s">
        <v>2380</v>
      </c>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row>
    <row r="31" spans="1:37" s="102" customFormat="1" ht="15.95" customHeight="1">
      <c r="A31" s="178" t="s">
        <v>310</v>
      </c>
      <c r="B31" s="191"/>
      <c r="C31" s="176"/>
      <c r="D31" s="192"/>
      <c r="E31" s="358" t="s">
        <v>2381</v>
      </c>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row>
    <row r="32" spans="1:37" s="102" customFormat="1" ht="15.95" customHeight="1">
      <c r="A32" s="359" t="s">
        <v>2402</v>
      </c>
      <c r="B32" s="193"/>
      <c r="C32" s="176"/>
      <c r="D32" s="192"/>
      <c r="E32" s="358" t="s">
        <v>2382</v>
      </c>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row>
    <row r="33" spans="1:37" s="102" customFormat="1" ht="15.95" customHeight="1">
      <c r="A33" s="359" t="s">
        <v>2403</v>
      </c>
      <c r="B33" s="193"/>
      <c r="C33" s="176"/>
      <c r="D33" s="194"/>
      <c r="E33" s="358" t="s">
        <v>2384</v>
      </c>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row>
    <row r="34" spans="1:37" s="102" customFormat="1" ht="15.95" customHeight="1">
      <c r="A34" s="359" t="s">
        <v>2404</v>
      </c>
      <c r="B34" s="191"/>
      <c r="C34" s="176"/>
      <c r="D34" s="194"/>
      <c r="E34" s="358" t="s">
        <v>2389</v>
      </c>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row>
    <row r="35" spans="1:37" s="102" customFormat="1" ht="15.95" customHeight="1">
      <c r="A35" s="174"/>
      <c r="B35" s="191"/>
      <c r="C35" s="176"/>
      <c r="D35" s="262"/>
      <c r="E35" s="358" t="s">
        <v>2390</v>
      </c>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row>
    <row r="36" spans="1:37" s="102" customFormat="1" ht="15.95" customHeight="1">
      <c r="A36" s="174"/>
      <c r="B36" s="198"/>
      <c r="C36" s="179"/>
      <c r="D36" s="199"/>
      <c r="E36" s="136"/>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s="102" customFormat="1">
      <c r="A37" s="823" t="s">
        <v>2353</v>
      </c>
      <c r="B37" s="822"/>
      <c r="C37" s="822"/>
      <c r="D37" s="822"/>
      <c r="E37" s="822"/>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s="102" customFormat="1">
      <c r="A38" s="180"/>
      <c r="B38" s="181" t="s">
        <v>316</v>
      </c>
      <c r="C38" s="136"/>
      <c r="D38" s="816" t="s">
        <v>318</v>
      </c>
      <c r="E38" s="817"/>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s="102" customFormat="1">
      <c r="A39" s="182"/>
      <c r="B39" s="183" t="s">
        <v>315</v>
      </c>
      <c r="C39" s="136"/>
      <c r="D39" s="184" t="s">
        <v>0</v>
      </c>
      <c r="E39" s="136"/>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row>
    <row r="40" spans="1:37" s="102" customFormat="1">
      <c r="A40" s="200"/>
      <c r="B40" s="201" t="s">
        <v>317</v>
      </c>
      <c r="C40" s="136"/>
      <c r="D40" s="136"/>
      <c r="E40" s="136"/>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7" s="102" customFormat="1">
      <c r="A41" s="815" t="s">
        <v>223</v>
      </c>
      <c r="B41" s="815"/>
      <c r="C41" s="815"/>
      <c r="D41" s="815"/>
      <c r="E41" s="170"/>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row>
    <row r="43" spans="1:37" s="21" customFormat="1">
      <c r="A43" s="171"/>
    </row>
    <row r="44" spans="1:37" s="21" customFormat="1">
      <c r="A44" s="813"/>
      <c r="B44" s="814"/>
      <c r="C44" s="814"/>
      <c r="D44" s="814"/>
      <c r="E44" s="814"/>
    </row>
    <row r="45" spans="1:37" s="21" customFormat="1"/>
    <row r="46" spans="1:37" s="21" customFormat="1"/>
    <row r="47" spans="1:37" s="21" customFormat="1"/>
    <row r="48" spans="1:37" s="21" customFormat="1"/>
    <row r="49" spans="1:1" s="21" customFormat="1"/>
    <row r="50" spans="1:1" s="21" customFormat="1"/>
    <row r="51" spans="1:1" s="21" customFormat="1"/>
    <row r="52" spans="1:1" s="21" customFormat="1"/>
    <row r="53" spans="1:1" s="21" customFormat="1">
      <c r="A53" s="171"/>
    </row>
    <row r="54" spans="1:1" s="21" customFormat="1"/>
    <row r="55" spans="1:1" s="21" customFormat="1"/>
    <row r="56" spans="1:1" s="21" customFormat="1"/>
    <row r="57" spans="1:1" s="21" customFormat="1"/>
    <row r="58" spans="1:1" s="21" customFormat="1"/>
    <row r="59" spans="1:1" s="21" customFormat="1"/>
    <row r="60" spans="1:1" s="21" customFormat="1"/>
    <row r="61" spans="1:1" s="21" customFormat="1"/>
    <row r="62" spans="1:1" s="21" customFormat="1"/>
    <row r="63" spans="1:1" s="21" customFormat="1"/>
    <row r="64" spans="1:1"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sheetData>
  <sheetProtection algorithmName="SHA-512" hashValue="C8iDnjDMOudxtIyzgXZvsbMBUOQNkDX0o8ppXBwDeeFCMHUaF7NU2Jmp4n6SFRMSVh7lZ1ibHN3E0UyaR/XdQA==" saltValue="905QmpzfVzh2Fu7ZeIJ1Og==" spinCount="100000" sheet="1" objects="1" scenarios="1"/>
  <mergeCells count="8">
    <mergeCell ref="A44:E44"/>
    <mergeCell ref="A41:D41"/>
    <mergeCell ref="D38:E38"/>
    <mergeCell ref="B12:D12"/>
    <mergeCell ref="A1:E1"/>
    <mergeCell ref="A37:E37"/>
    <mergeCell ref="B29:B30"/>
    <mergeCell ref="D4:D6"/>
  </mergeCells>
  <phoneticPr fontId="11" type="noConversion"/>
  <dataValidations count="5">
    <dataValidation type="list" allowBlank="1" showInputMessage="1" showErrorMessage="1" errorTitle="Neexistující úřad" error="Vyberte Finanční úřad ze seznamu" sqref="B13" xr:uid="{00000000-0002-0000-0500-000000000000}">
      <formula1>fin_ur</formula1>
    </dataValidation>
    <dataValidation type="list" errorStyle="warning" allowBlank="1" showInputMessage="1" sqref="B14" xr:uid="{00000000-0002-0000-0500-000001000000}">
      <formula1>validation_list2</formula1>
    </dataValidation>
    <dataValidation type="list" allowBlank="1" showInputMessage="1" sqref="B29:B30" xr:uid="{00000000-0002-0000-0500-000002000000}">
      <formula1>vl_cinnosti</formula1>
    </dataValidation>
    <dataValidation type="list" allowBlank="1" showInputMessage="1" showErrorMessage="1" errorTitle="Stát není v seznamu" sqref="B20" xr:uid="{00000000-0002-0000-0500-000003000000}">
      <formula1>staty</formula1>
    </dataValidation>
    <dataValidation type="list" errorStyle="warning" allowBlank="1" showInputMessage="1" sqref="B21" xr:uid="{9F5EFC6C-F86F-45E2-A4F9-25857B042A05}">
      <formula1>Validation_list_OSSZ</formula1>
    </dataValidation>
  </dataValidations>
  <printOptions horizontalCentered="1" verticalCentered="1"/>
  <pageMargins left="0.19685039370078741" right="0.19685039370078741" top="0.39370078740157483" bottom="0.19685039370078741" header="0.51181102362204722" footer="0.51181102362204722"/>
  <pageSetup paperSize="9" scale="76"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autoPageBreaks="0" fitToPage="1"/>
  </sheetPr>
  <dimension ref="A1:N204"/>
  <sheetViews>
    <sheetView showZeros="0" showOutlineSymbols="0" zoomScaleNormal="100" workbookViewId="0">
      <selection activeCell="A6" sqref="A6:F6"/>
    </sheetView>
  </sheetViews>
  <sheetFormatPr defaultColWidth="9.140625" defaultRowHeight="12.75"/>
  <cols>
    <col min="1" max="1" width="8.28515625" style="3" customWidth="1"/>
    <col min="2" max="2" width="4.7109375" style="3" customWidth="1"/>
    <col min="3" max="3" width="8.28515625" style="3" customWidth="1"/>
    <col min="4" max="4" width="4.7109375" style="3" customWidth="1"/>
    <col min="5" max="5" width="8.28515625" style="2" customWidth="1"/>
    <col min="6" max="6" width="11" style="2" customWidth="1"/>
    <col min="7" max="7" width="7.140625" style="2" customWidth="1"/>
    <col min="8" max="8" width="14.7109375" style="3" customWidth="1"/>
    <col min="9" max="9" width="7.28515625" style="3" customWidth="1"/>
    <col min="10" max="10" width="9.85546875" style="2" customWidth="1"/>
    <col min="11" max="11" width="4.42578125" style="3" customWidth="1"/>
    <col min="12" max="12" width="10.7109375" style="3" customWidth="1"/>
    <col min="13" max="16384" width="9.140625" style="2"/>
  </cols>
  <sheetData>
    <row r="1" spans="1:12">
      <c r="A1" s="837" t="s">
        <v>294</v>
      </c>
      <c r="B1" s="837"/>
      <c r="C1" s="838"/>
      <c r="D1" s="838"/>
      <c r="E1" s="838"/>
      <c r="F1" s="838"/>
      <c r="G1" s="838"/>
      <c r="H1" s="838"/>
      <c r="I1" s="838"/>
      <c r="J1" s="838"/>
      <c r="K1" s="838"/>
      <c r="L1" s="838"/>
    </row>
    <row r="2" spans="1:12">
      <c r="A2" s="850" t="s">
        <v>147</v>
      </c>
      <c r="B2" s="850"/>
      <c r="C2" s="814"/>
      <c r="D2" s="814"/>
      <c r="E2" s="814"/>
      <c r="F2" s="814"/>
      <c r="G2" s="814"/>
      <c r="H2" s="814"/>
      <c r="I2" s="814"/>
      <c r="J2" s="814"/>
      <c r="K2" s="814"/>
      <c r="L2" s="814"/>
    </row>
    <row r="3" spans="1:12" ht="20.25" customHeight="1">
      <c r="A3" s="842">
        <f>+ZAKL_DATA!B13</f>
        <v>0</v>
      </c>
      <c r="B3" s="843"/>
      <c r="C3" s="844"/>
      <c r="D3" s="844"/>
      <c r="E3" s="844"/>
      <c r="F3" s="845"/>
      <c r="G3" s="851"/>
      <c r="H3" s="852"/>
      <c r="I3" s="852"/>
      <c r="J3" s="852"/>
      <c r="K3" s="852"/>
      <c r="L3" s="852"/>
    </row>
    <row r="4" spans="1:12">
      <c r="A4" s="850" t="s">
        <v>148</v>
      </c>
      <c r="B4" s="850"/>
      <c r="C4" s="814"/>
      <c r="D4" s="814"/>
      <c r="E4" s="814"/>
      <c r="F4" s="814"/>
      <c r="G4" s="814"/>
      <c r="H4" s="814"/>
      <c r="I4" s="814"/>
      <c r="J4" s="814"/>
      <c r="K4" s="814"/>
      <c r="L4" s="814"/>
    </row>
    <row r="5" spans="1:12" ht="20.25" customHeight="1">
      <c r="A5" s="842">
        <f>+ZAKL_DATA!B14</f>
        <v>0</v>
      </c>
      <c r="B5" s="843"/>
      <c r="C5" s="844"/>
      <c r="D5" s="844"/>
      <c r="E5" s="844"/>
      <c r="F5" s="845"/>
      <c r="G5" s="839"/>
      <c r="H5" s="857" t="s">
        <v>222</v>
      </c>
      <c r="I5" s="858"/>
      <c r="J5" s="858"/>
      <c r="K5" s="858"/>
      <c r="L5" s="859"/>
    </row>
    <row r="6" spans="1:12">
      <c r="A6" s="853" t="s">
        <v>142</v>
      </c>
      <c r="B6" s="853"/>
      <c r="C6" s="854"/>
      <c r="D6" s="854"/>
      <c r="E6" s="854"/>
      <c r="F6" s="854"/>
      <c r="G6" s="840"/>
      <c r="H6" s="860"/>
      <c r="I6" s="814"/>
      <c r="J6" s="814"/>
      <c r="K6" s="814"/>
      <c r="L6" s="840"/>
    </row>
    <row r="7" spans="1:12" ht="20.25" customHeight="1">
      <c r="A7" s="846" t="str">
        <f>IF(EXACT(LEFT(+ZAKL_DATA!D2,1),"C"),+ZAKL_DATA!D2," ")</f>
        <v>CZ</v>
      </c>
      <c r="B7" s="847"/>
      <c r="C7" s="848"/>
      <c r="D7" s="848"/>
      <c r="E7" s="848"/>
      <c r="F7" s="849"/>
      <c r="G7" s="840"/>
      <c r="H7" s="860"/>
      <c r="I7" s="814"/>
      <c r="J7" s="814"/>
      <c r="K7" s="814"/>
      <c r="L7" s="840"/>
    </row>
    <row r="8" spans="1:12">
      <c r="A8" s="855" t="s">
        <v>143</v>
      </c>
      <c r="B8" s="855"/>
      <c r="C8" s="854"/>
      <c r="D8" s="854"/>
      <c r="E8" s="854"/>
      <c r="F8" s="841"/>
      <c r="G8" s="814"/>
      <c r="H8" s="860"/>
      <c r="I8" s="814"/>
      <c r="J8" s="814"/>
      <c r="K8" s="814"/>
      <c r="L8" s="840"/>
    </row>
    <row r="9" spans="1:12" ht="20.25" customHeight="1">
      <c r="A9" s="887" t="str">
        <f>IF(EXACT(LEFT(+ZAKL_DATA!D2,1),"C"),+MID(A7,3,20),+ZAKL_DATA!D2)</f>
        <v/>
      </c>
      <c r="B9" s="847"/>
      <c r="C9" s="847"/>
      <c r="D9" s="847"/>
      <c r="E9" s="888"/>
      <c r="F9" s="814"/>
      <c r="G9" s="814"/>
      <c r="H9" s="860"/>
      <c r="I9" s="814"/>
      <c r="J9" s="814"/>
      <c r="K9" s="814"/>
      <c r="L9" s="840"/>
    </row>
    <row r="10" spans="1:12">
      <c r="A10" s="856"/>
      <c r="B10" s="856"/>
      <c r="C10" s="856"/>
      <c r="D10" s="856"/>
      <c r="E10" s="856"/>
      <c r="F10" s="814"/>
      <c r="G10" s="814"/>
      <c r="H10" s="861"/>
      <c r="I10" s="862"/>
      <c r="J10" s="862"/>
      <c r="K10" s="862"/>
      <c r="L10" s="863"/>
    </row>
    <row r="11" spans="1:12">
      <c r="A11" s="856" t="s">
        <v>213</v>
      </c>
      <c r="B11" s="856"/>
      <c r="C11" s="814"/>
      <c r="D11" s="814"/>
      <c r="E11" s="814"/>
      <c r="F11" s="814"/>
      <c r="G11" s="814"/>
      <c r="H11" s="814"/>
      <c r="I11" s="814"/>
      <c r="J11" s="814"/>
      <c r="K11" s="814"/>
      <c r="L11" s="814"/>
    </row>
    <row r="12" spans="1:12" ht="11.25" customHeight="1">
      <c r="A12" s="67" t="s">
        <v>144</v>
      </c>
      <c r="B12" s="65"/>
      <c r="C12" s="67" t="s">
        <v>232</v>
      </c>
      <c r="D12" s="10"/>
      <c r="E12" s="67" t="s">
        <v>233</v>
      </c>
      <c r="F12" s="66"/>
      <c r="G12" s="911" t="s">
        <v>214</v>
      </c>
      <c r="H12" s="912"/>
      <c r="I12" s="912"/>
      <c r="J12" s="912"/>
      <c r="K12" s="11"/>
      <c r="L12" s="66"/>
    </row>
    <row r="13" spans="1:12" ht="24" customHeight="1">
      <c r="A13" s="68" t="s">
        <v>234</v>
      </c>
      <c r="B13" s="65"/>
      <c r="C13" s="68"/>
      <c r="D13" s="65"/>
      <c r="E13" s="68"/>
      <c r="F13" s="66"/>
      <c r="G13" s="912"/>
      <c r="H13" s="912"/>
      <c r="I13" s="912"/>
      <c r="J13" s="912"/>
      <c r="K13" s="909"/>
      <c r="L13" s="910"/>
    </row>
    <row r="14" spans="1:12">
      <c r="A14" s="950" t="s">
        <v>204</v>
      </c>
      <c r="B14" s="814"/>
      <c r="C14" s="814"/>
      <c r="D14" s="814"/>
      <c r="E14" s="814"/>
      <c r="F14" s="895"/>
      <c r="G14" s="895"/>
      <c r="H14" s="895"/>
      <c r="I14" s="895"/>
      <c r="J14" s="895"/>
      <c r="K14" s="895"/>
      <c r="L14" s="895"/>
    </row>
    <row r="15" spans="1:12" ht="20.25" customHeight="1">
      <c r="A15" s="68"/>
      <c r="B15" s="947"/>
      <c r="C15" s="814"/>
      <c r="D15" s="814"/>
      <c r="E15" s="814"/>
      <c r="F15" s="951"/>
      <c r="G15" s="899"/>
      <c r="H15" s="899"/>
      <c r="I15" s="899"/>
      <c r="J15" s="122" t="s">
        <v>319</v>
      </c>
      <c r="K15" s="909"/>
      <c r="L15" s="910"/>
    </row>
    <row r="16" spans="1:12">
      <c r="A16" s="954"/>
      <c r="B16" s="955"/>
      <c r="C16" s="955"/>
      <c r="D16" s="955"/>
      <c r="E16" s="955"/>
      <c r="F16" s="899"/>
      <c r="G16" s="899"/>
      <c r="H16" s="899"/>
      <c r="I16" s="899"/>
      <c r="J16" s="69"/>
      <c r="K16" s="71"/>
      <c r="L16" s="70"/>
    </row>
    <row r="17" spans="1:12" ht="24" customHeight="1">
      <c r="A17" s="906" t="s">
        <v>81</v>
      </c>
      <c r="B17" s="907"/>
      <c r="C17" s="907"/>
      <c r="D17" s="907"/>
      <c r="E17" s="907"/>
      <c r="F17" s="907"/>
      <c r="G17" s="907"/>
      <c r="H17" s="908"/>
      <c r="I17" s="116" t="s">
        <v>212</v>
      </c>
      <c r="J17" s="68"/>
      <c r="K17" s="115" t="s">
        <v>129</v>
      </c>
      <c r="L17" s="68" t="s">
        <v>234</v>
      </c>
    </row>
    <row r="18" spans="1:12" ht="9" customHeight="1">
      <c r="A18" s="886"/>
      <c r="B18" s="886"/>
      <c r="C18" s="895"/>
      <c r="D18" s="895"/>
      <c r="E18" s="895"/>
      <c r="F18" s="895"/>
      <c r="G18" s="895"/>
      <c r="H18" s="895"/>
      <c r="I18" s="895"/>
      <c r="J18" s="895"/>
      <c r="K18" s="895"/>
      <c r="L18" s="895"/>
    </row>
    <row r="19" spans="1:12" ht="24" customHeight="1">
      <c r="A19" s="952" t="s">
        <v>216</v>
      </c>
      <c r="B19" s="953"/>
      <c r="C19" s="953"/>
      <c r="D19" s="953"/>
      <c r="E19" s="953"/>
      <c r="F19" s="953"/>
      <c r="G19" s="953"/>
      <c r="H19" s="893"/>
      <c r="I19" s="116" t="s">
        <v>212</v>
      </c>
      <c r="J19" s="68"/>
      <c r="K19" s="115" t="s">
        <v>129</v>
      </c>
      <c r="L19" s="68" t="s">
        <v>234</v>
      </c>
    </row>
    <row r="20" spans="1:12" ht="20.100000000000001" customHeight="1">
      <c r="A20" s="886"/>
      <c r="B20" s="886"/>
      <c r="C20" s="886"/>
      <c r="D20" s="886"/>
      <c r="E20" s="886"/>
      <c r="F20" s="886"/>
      <c r="G20" s="886"/>
      <c r="H20" s="886"/>
      <c r="I20" s="886"/>
      <c r="J20" s="886"/>
      <c r="K20" s="886"/>
      <c r="L20" s="886"/>
    </row>
    <row r="21" spans="1:12" ht="27.95" customHeight="1">
      <c r="A21" s="898" t="s">
        <v>94</v>
      </c>
      <c r="B21" s="899"/>
      <c r="C21" s="899"/>
      <c r="D21" s="899"/>
      <c r="E21" s="899"/>
      <c r="F21" s="899"/>
      <c r="G21" s="899"/>
      <c r="H21" s="899"/>
      <c r="I21" s="899"/>
      <c r="J21" s="899"/>
      <c r="K21" s="899"/>
      <c r="L21" s="899"/>
    </row>
    <row r="22" spans="1:12" ht="18" customHeight="1">
      <c r="A22" s="900" t="s">
        <v>95</v>
      </c>
      <c r="B22" s="900"/>
      <c r="C22" s="899"/>
      <c r="D22" s="899"/>
      <c r="E22" s="899"/>
      <c r="F22" s="899"/>
      <c r="G22" s="899"/>
      <c r="H22" s="899"/>
      <c r="I22" s="899"/>
      <c r="J22" s="899"/>
      <c r="K22" s="814"/>
      <c r="L22" s="814"/>
    </row>
    <row r="23" spans="1:12" s="101" customFormat="1" ht="18" customHeight="1">
      <c r="A23" s="896" t="s">
        <v>2238</v>
      </c>
      <c r="B23" s="896"/>
      <c r="C23" s="897"/>
      <c r="D23" s="897"/>
      <c r="E23" s="897"/>
      <c r="F23" s="897"/>
      <c r="G23" s="897"/>
      <c r="H23" s="897"/>
      <c r="I23" s="897"/>
      <c r="J23" s="897"/>
      <c r="K23" s="897"/>
      <c r="L23" s="897"/>
    </row>
    <row r="24" spans="1:12" s="101" customFormat="1" ht="24" customHeight="1">
      <c r="A24" s="901" t="s">
        <v>236</v>
      </c>
      <c r="B24" s="902"/>
      <c r="C24" s="902"/>
      <c r="D24" s="902"/>
      <c r="E24" s="903"/>
      <c r="F24" s="948">
        <v>2025</v>
      </c>
      <c r="G24" s="949"/>
      <c r="H24" s="904" t="s">
        <v>174</v>
      </c>
      <c r="I24" s="905"/>
      <c r="J24" s="161"/>
      <c r="K24" s="160" t="s">
        <v>235</v>
      </c>
      <c r="L24" s="161"/>
    </row>
    <row r="25" spans="1:12" ht="18" customHeight="1">
      <c r="A25" s="886" t="s">
        <v>2239</v>
      </c>
      <c r="B25" s="886"/>
      <c r="C25" s="895"/>
      <c r="D25" s="895"/>
      <c r="E25" s="895"/>
      <c r="F25" s="895"/>
      <c r="G25" s="895"/>
      <c r="H25" s="895"/>
      <c r="I25" s="895"/>
      <c r="J25" s="895"/>
      <c r="K25" s="895"/>
      <c r="L25" s="895"/>
    </row>
    <row r="26" spans="1:12" ht="9.9499999999999993" customHeight="1">
      <c r="A26" s="886"/>
      <c r="B26" s="886"/>
      <c r="C26" s="895"/>
      <c r="D26" s="895"/>
      <c r="E26" s="895"/>
      <c r="F26" s="895"/>
      <c r="G26" s="895"/>
      <c r="H26" s="895"/>
      <c r="I26" s="895"/>
      <c r="J26" s="895"/>
      <c r="K26" s="895"/>
      <c r="L26" s="895"/>
    </row>
    <row r="27" spans="1:12" ht="15" customHeight="1" thickBot="1">
      <c r="A27" s="917" t="s">
        <v>128</v>
      </c>
      <c r="B27" s="917"/>
      <c r="C27" s="918"/>
      <c r="D27" s="918"/>
      <c r="E27" s="918"/>
      <c r="F27" s="918"/>
      <c r="G27" s="918"/>
      <c r="H27" s="918"/>
      <c r="I27" s="918"/>
      <c r="J27" s="918"/>
      <c r="K27" s="918"/>
      <c r="L27" s="918"/>
    </row>
    <row r="28" spans="1:12" ht="24" customHeight="1">
      <c r="A28" s="232" t="s">
        <v>1</v>
      </c>
      <c r="B28" s="864">
        <f>+ZAKL_DATA!B5</f>
        <v>0</v>
      </c>
      <c r="C28" s="865"/>
      <c r="D28" s="865"/>
      <c r="E28" s="866"/>
      <c r="F28" s="233" t="s">
        <v>2510</v>
      </c>
      <c r="G28" s="864">
        <f>+ZAKL_DATA!B6</f>
        <v>0</v>
      </c>
      <c r="H28" s="867"/>
      <c r="I28" s="234" t="s">
        <v>263</v>
      </c>
      <c r="J28" s="868">
        <f>+ZAKL_DATA!B4</f>
        <v>0</v>
      </c>
      <c r="K28" s="869"/>
      <c r="L28" s="870"/>
    </row>
    <row r="29" spans="1:12" ht="24" customHeight="1" thickBot="1">
      <c r="A29" s="235" t="s">
        <v>2509</v>
      </c>
      <c r="B29" s="879">
        <f>+ZAKL_DATA!B7</f>
        <v>0</v>
      </c>
      <c r="C29" s="880"/>
      <c r="D29" s="880"/>
      <c r="E29" s="881"/>
      <c r="F29" s="925" t="s">
        <v>2</v>
      </c>
      <c r="G29" s="926"/>
      <c r="H29" s="327">
        <f>+ZAKL_DATA!B20</f>
        <v>0</v>
      </c>
      <c r="I29" s="236" t="s">
        <v>3</v>
      </c>
      <c r="J29" s="876"/>
      <c r="K29" s="877"/>
      <c r="L29" s="878"/>
    </row>
    <row r="30" spans="1:12" ht="15" customHeight="1" thickBot="1">
      <c r="A30" s="884" t="s">
        <v>192</v>
      </c>
      <c r="B30" s="884"/>
      <c r="C30" s="885"/>
      <c r="D30" s="885"/>
      <c r="E30" s="885"/>
      <c r="F30" s="885"/>
      <c r="G30" s="885"/>
      <c r="H30" s="885"/>
      <c r="I30" s="885"/>
      <c r="J30" s="885"/>
      <c r="K30" s="885"/>
      <c r="L30" s="885"/>
    </row>
    <row r="31" spans="1:12" ht="24" customHeight="1">
      <c r="A31" s="232" t="s">
        <v>4</v>
      </c>
      <c r="B31" s="873">
        <f>+ZAKL_DATA!B18</f>
        <v>0</v>
      </c>
      <c r="C31" s="882"/>
      <c r="D31" s="882"/>
      <c r="E31" s="883"/>
      <c r="F31" s="237" t="s">
        <v>2240</v>
      </c>
      <c r="G31" s="873">
        <f>+ZAKL_DATA!B16</f>
        <v>0</v>
      </c>
      <c r="H31" s="874"/>
      <c r="I31" s="875"/>
      <c r="J31" s="871" t="s">
        <v>5</v>
      </c>
      <c r="K31" s="872"/>
      <c r="L31" s="14">
        <f>+ZAKL_DATA!B17</f>
        <v>0</v>
      </c>
    </row>
    <row r="32" spans="1:12" ht="24" customHeight="1" thickBot="1">
      <c r="A32" s="235" t="s">
        <v>175</v>
      </c>
      <c r="B32" s="891">
        <f>+ZAKL_DATA!B19</f>
        <v>0</v>
      </c>
      <c r="C32" s="881"/>
      <c r="D32" s="889" t="s">
        <v>2511</v>
      </c>
      <c r="E32" s="890"/>
      <c r="F32" s="246">
        <f>+ZAKL_DATA!B25</f>
        <v>0</v>
      </c>
      <c r="G32" s="238" t="s">
        <v>2512</v>
      </c>
      <c r="H32" s="943">
        <f>+ZAKL_DATA!B27</f>
        <v>0</v>
      </c>
      <c r="I32" s="944"/>
      <c r="J32" s="239" t="s">
        <v>176</v>
      </c>
      <c r="K32" s="956">
        <f>+ZAKL_DATA!B20</f>
        <v>0</v>
      </c>
      <c r="L32" s="957"/>
    </row>
    <row r="33" spans="1:14" ht="15" customHeight="1">
      <c r="A33" s="941" t="s">
        <v>2358</v>
      </c>
      <c r="B33" s="942"/>
      <c r="C33" s="942"/>
      <c r="D33" s="942"/>
      <c r="E33" s="942"/>
      <c r="F33" s="942"/>
      <c r="G33" s="942"/>
      <c r="H33" s="942"/>
      <c r="I33" s="942"/>
      <c r="J33" s="942"/>
      <c r="K33" s="921"/>
      <c r="L33" s="921"/>
    </row>
    <row r="34" spans="1:14" ht="15" customHeight="1" thickBot="1">
      <c r="A34" s="939" t="s">
        <v>100</v>
      </c>
      <c r="B34" s="940"/>
      <c r="C34" s="940"/>
      <c r="D34" s="940"/>
      <c r="E34" s="940"/>
      <c r="F34" s="940"/>
      <c r="G34" s="940"/>
      <c r="H34" s="940"/>
      <c r="I34" s="940"/>
      <c r="J34" s="940"/>
      <c r="K34" s="885"/>
      <c r="L34" s="885"/>
    </row>
    <row r="35" spans="1:14" ht="24" customHeight="1" thickBot="1">
      <c r="A35" s="240" t="s">
        <v>177</v>
      </c>
      <c r="B35" s="927"/>
      <c r="C35" s="928"/>
      <c r="D35" s="928"/>
      <c r="E35" s="929"/>
      <c r="F35" s="241" t="s">
        <v>99</v>
      </c>
      <c r="G35" s="945"/>
      <c r="H35" s="946"/>
      <c r="I35" s="242" t="s">
        <v>60</v>
      </c>
      <c r="J35" s="243"/>
      <c r="K35" s="244" t="s">
        <v>178</v>
      </c>
      <c r="L35" s="245"/>
      <c r="M35" s="123"/>
      <c r="N35" s="124"/>
    </row>
    <row r="36" spans="1:14" ht="15" customHeight="1">
      <c r="A36" s="933" t="s">
        <v>2372</v>
      </c>
      <c r="B36" s="934"/>
      <c r="C36" s="934"/>
      <c r="D36" s="934"/>
      <c r="E36" s="934"/>
      <c r="F36" s="934"/>
      <c r="G36" s="934"/>
      <c r="H36" s="934"/>
      <c r="I36" s="934"/>
      <c r="J36" s="934"/>
      <c r="K36" s="814"/>
      <c r="L36" s="814"/>
    </row>
    <row r="37" spans="1:14" ht="15" customHeight="1" thickBot="1">
      <c r="A37" s="935" t="s">
        <v>295</v>
      </c>
      <c r="B37" s="936"/>
      <c r="C37" s="936"/>
      <c r="D37" s="936"/>
      <c r="E37" s="936"/>
      <c r="F37" s="936"/>
      <c r="G37" s="936"/>
      <c r="H37" s="936"/>
      <c r="I37" s="936"/>
      <c r="J37" s="936"/>
      <c r="K37" s="885"/>
      <c r="L37" s="885"/>
    </row>
    <row r="38" spans="1:14" ht="24" customHeight="1">
      <c r="A38" s="12" t="s">
        <v>179</v>
      </c>
      <c r="B38" s="873"/>
      <c r="C38" s="882"/>
      <c r="D38" s="882"/>
      <c r="E38" s="883"/>
      <c r="F38" s="106" t="s">
        <v>2241</v>
      </c>
      <c r="G38" s="930"/>
      <c r="H38" s="931"/>
      <c r="I38" s="932"/>
      <c r="J38" s="937" t="s">
        <v>180</v>
      </c>
      <c r="K38" s="938"/>
      <c r="L38" s="14"/>
      <c r="M38" s="123"/>
      <c r="N38" s="124"/>
    </row>
    <row r="39" spans="1:14" ht="24" customHeight="1" thickBot="1">
      <c r="A39" s="13" t="s">
        <v>181</v>
      </c>
      <c r="B39" s="891"/>
      <c r="C39" s="881"/>
      <c r="D39" s="889" t="s">
        <v>2539</v>
      </c>
      <c r="E39" s="890"/>
      <c r="F39" s="916"/>
      <c r="G39" s="881"/>
      <c r="H39" s="238" t="s">
        <v>2540</v>
      </c>
      <c r="I39" s="913"/>
      <c r="J39" s="914"/>
      <c r="K39" s="914"/>
      <c r="L39" s="915"/>
      <c r="M39" s="123"/>
      <c r="N39" s="124"/>
    </row>
    <row r="40" spans="1:14" ht="12" customHeight="1">
      <c r="A40" s="920"/>
      <c r="B40" s="921"/>
      <c r="C40" s="921"/>
      <c r="D40" s="921"/>
      <c r="E40" s="921"/>
      <c r="F40" s="921"/>
      <c r="G40" s="921"/>
      <c r="H40" s="921"/>
      <c r="I40" s="921"/>
      <c r="J40" s="921"/>
      <c r="K40" s="921"/>
      <c r="L40" s="921"/>
    </row>
    <row r="41" spans="1:14" ht="24" customHeight="1">
      <c r="A41" s="922" t="s">
        <v>101</v>
      </c>
      <c r="B41" s="923"/>
      <c r="C41" s="923"/>
      <c r="D41" s="923"/>
      <c r="E41" s="924"/>
      <c r="F41" s="107"/>
      <c r="G41" s="108"/>
      <c r="H41" s="834" t="s">
        <v>51</v>
      </c>
      <c r="I41" s="835"/>
      <c r="J41" s="836"/>
      <c r="K41" s="832"/>
      <c r="L41" s="833"/>
    </row>
    <row r="42" spans="1:14" ht="12" customHeight="1">
      <c r="A42" s="894"/>
      <c r="B42" s="814"/>
      <c r="C42" s="814"/>
      <c r="D42" s="814"/>
      <c r="E42" s="814"/>
      <c r="F42" s="814"/>
      <c r="G42" s="814"/>
      <c r="H42" s="814"/>
      <c r="I42" s="814"/>
      <c r="J42" s="814"/>
      <c r="K42" s="814"/>
      <c r="L42" s="814"/>
    </row>
    <row r="43" spans="1:14" ht="24" customHeight="1">
      <c r="A43" s="892" t="s">
        <v>2322</v>
      </c>
      <c r="B43" s="893"/>
      <c r="C43" s="893"/>
      <c r="D43" s="893"/>
      <c r="E43" s="115" t="s">
        <v>212</v>
      </c>
      <c r="F43" s="68"/>
      <c r="G43" s="115" t="s">
        <v>129</v>
      </c>
      <c r="H43" s="68" t="s">
        <v>234</v>
      </c>
      <c r="I43" s="919"/>
      <c r="J43" s="814"/>
      <c r="K43" s="814"/>
      <c r="L43" s="814"/>
    </row>
    <row r="44" spans="1:14" ht="9" customHeight="1">
      <c r="A44" s="830"/>
      <c r="B44" s="814"/>
      <c r="C44" s="814"/>
      <c r="D44" s="814"/>
      <c r="E44" s="814"/>
      <c r="F44" s="814"/>
      <c r="G44" s="814"/>
      <c r="H44" s="814"/>
      <c r="I44" s="814"/>
      <c r="J44" s="814"/>
      <c r="K44" s="814"/>
      <c r="L44" s="814"/>
    </row>
    <row r="45" spans="1:14" ht="9" customHeight="1">
      <c r="A45" s="831" t="s">
        <v>2707</v>
      </c>
      <c r="B45" s="831"/>
      <c r="C45" s="814"/>
      <c r="D45" s="814"/>
      <c r="E45" s="814"/>
      <c r="F45" s="814"/>
      <c r="G45" s="814"/>
      <c r="H45" s="814"/>
      <c r="I45" s="814"/>
      <c r="J45" s="814"/>
      <c r="K45" s="814"/>
      <c r="L45" s="814"/>
    </row>
    <row r="46" spans="1:14" ht="10.5" customHeight="1">
      <c r="A46" s="828" t="s">
        <v>223</v>
      </c>
      <c r="B46" s="829"/>
      <c r="C46" s="829"/>
      <c r="D46" s="829"/>
      <c r="E46" s="829"/>
      <c r="F46" s="829"/>
      <c r="G46" s="829"/>
      <c r="H46" s="829"/>
      <c r="I46" s="829"/>
      <c r="J46" s="829"/>
      <c r="K46" s="829"/>
      <c r="L46" s="829"/>
    </row>
    <row r="47" spans="1:14" ht="10.5" customHeight="1">
      <c r="A47" s="828">
        <f>+ZAKL_DATA!A44</f>
        <v>0</v>
      </c>
      <c r="B47" s="829"/>
      <c r="C47" s="829"/>
      <c r="D47" s="829"/>
      <c r="E47" s="829"/>
      <c r="F47" s="829"/>
      <c r="G47" s="829"/>
      <c r="H47" s="829"/>
      <c r="I47" s="829"/>
      <c r="J47" s="829"/>
      <c r="K47" s="829"/>
      <c r="L47" s="829"/>
    </row>
    <row r="48" spans="1:14" ht="10.5" customHeight="1">
      <c r="A48" s="886">
        <v>1</v>
      </c>
      <c r="B48" s="814"/>
      <c r="C48" s="814"/>
      <c r="D48" s="814"/>
      <c r="E48" s="814"/>
      <c r="F48" s="814"/>
      <c r="G48" s="814"/>
      <c r="H48" s="814"/>
      <c r="I48" s="814"/>
      <c r="J48" s="814"/>
      <c r="K48" s="814"/>
      <c r="L48" s="814"/>
    </row>
    <row r="49" spans="1:12" ht="11.25" customHeight="1">
      <c r="A49" s="4"/>
      <c r="B49" s="4"/>
      <c r="E49" s="3"/>
      <c r="F49" s="3"/>
      <c r="G49" s="3"/>
    </row>
    <row r="50" spans="1:12">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hidden="1" customHeight="1">
      <c r="A55" s="2" t="s">
        <v>83</v>
      </c>
      <c r="B55" s="2"/>
      <c r="C55" s="2"/>
      <c r="D55" s="2"/>
      <c r="H55" s="2"/>
      <c r="I55" s="2"/>
      <c r="K55" s="2"/>
      <c r="L55" s="2"/>
    </row>
    <row r="56" spans="1:12" ht="12.95" hidden="1" customHeight="1">
      <c r="A56" s="2" t="s">
        <v>84</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1:12" ht="12.95" customHeight="1">
      <c r="E60" s="3"/>
      <c r="F60" s="3"/>
      <c r="G60" s="4"/>
      <c r="H60" s="2"/>
    </row>
    <row r="61" spans="1:12">
      <c r="E61" s="3"/>
      <c r="F61" s="3"/>
      <c r="G61" s="3"/>
    </row>
    <row r="62" spans="1:12">
      <c r="E62" s="3"/>
      <c r="F62" s="3"/>
      <c r="G62" s="3"/>
    </row>
    <row r="63" spans="1:12">
      <c r="E63" s="3"/>
      <c r="F63" s="3"/>
      <c r="G63" s="3"/>
    </row>
    <row r="64" spans="1:12">
      <c r="E64" s="3"/>
      <c r="F64" s="3"/>
      <c r="G64" s="3"/>
    </row>
    <row r="65" spans="5:7">
      <c r="E65" s="3"/>
      <c r="F65" s="3"/>
      <c r="G65" s="3"/>
    </row>
    <row r="66" spans="5:7">
      <c r="E66" s="3"/>
      <c r="F66" s="3"/>
      <c r="G66" s="3"/>
    </row>
    <row r="67" spans="5:7">
      <c r="E67" s="3"/>
      <c r="F67" s="3"/>
      <c r="G67" s="3"/>
    </row>
    <row r="68" spans="5:7">
      <c r="E68" s="3"/>
      <c r="F68" s="3"/>
    </row>
    <row r="69" spans="5:7">
      <c r="E69" s="3"/>
      <c r="F69" s="3"/>
    </row>
    <row r="70" spans="5:7">
      <c r="E70" s="3"/>
      <c r="F70" s="3"/>
    </row>
    <row r="71" spans="5:7">
      <c r="E71" s="3"/>
      <c r="F71" s="3"/>
    </row>
    <row r="72" spans="5:7">
      <c r="E72" s="3"/>
      <c r="F72" s="3"/>
    </row>
    <row r="204" spans="1:1">
      <c r="A204" s="96">
        <v>1</v>
      </c>
    </row>
  </sheetData>
  <sheetProtection algorithmName="SHA-512" hashValue="2/6lvFARt4xk/JrOClqidygelkRf+eqYAptPCiaTksbihtR6JohIU76fZOf1VgbFtRrHBW7anrpN1Iz6kBOHEQ==" saltValue="8NWiuORYca0GGo2bVovg1g=="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honeticPr fontId="11" type="noConversion"/>
  <printOptions horizontalCentered="1" verticalCentered="1"/>
  <pageMargins left="0.39370078740157483" right="0.39370078740157483" top="0.39370078740157483" bottom="0.39370078740157483" header="0.31496062992125984" footer="0.31496062992125984"/>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154"/>
  <sheetViews>
    <sheetView workbookViewId="0">
      <selection activeCell="N5" sqref="N5"/>
    </sheetView>
  </sheetViews>
  <sheetFormatPr defaultRowHeight="12.75"/>
  <cols>
    <col min="1" max="1" width="5" customWidth="1"/>
    <col min="2" max="3" width="9.7109375" customWidth="1"/>
    <col min="4" max="4" width="23.28515625" customWidth="1"/>
    <col min="5" max="10" width="8.7109375" customWidth="1"/>
    <col min="11" max="11" width="9.140625" style="72"/>
    <col min="12" max="12" width="41.7109375" style="72" customWidth="1"/>
    <col min="13" max="18" width="14.7109375" style="72" customWidth="1"/>
    <col min="19" max="58" width="9.140625" style="72"/>
  </cols>
  <sheetData>
    <row r="1" spans="1:18">
      <c r="A1" s="886" t="s">
        <v>187</v>
      </c>
      <c r="B1" s="895"/>
      <c r="C1" s="895"/>
      <c r="D1" s="895"/>
      <c r="E1" s="895"/>
      <c r="F1" s="895"/>
      <c r="G1" s="814"/>
      <c r="H1" s="814"/>
      <c r="I1" s="814"/>
      <c r="J1" s="814"/>
    </row>
    <row r="2" spans="1:18" ht="13.5" thickBot="1">
      <c r="A2" s="1058" t="s">
        <v>2242</v>
      </c>
      <c r="B2" s="1059"/>
      <c r="C2" s="1059"/>
      <c r="D2" s="1059"/>
      <c r="E2" s="1059"/>
      <c r="F2" s="1059"/>
      <c r="G2" s="1060"/>
      <c r="H2" s="1060"/>
      <c r="I2" s="1060"/>
      <c r="J2" s="1060"/>
    </row>
    <row r="3" spans="1:18" ht="12" customHeight="1">
      <c r="A3" s="1074"/>
      <c r="B3" s="1075"/>
      <c r="C3" s="1075"/>
      <c r="D3" s="1076"/>
      <c r="E3" s="1077" t="s">
        <v>137</v>
      </c>
      <c r="F3" s="1077"/>
      <c r="G3" s="1077"/>
      <c r="H3" s="1077" t="s">
        <v>145</v>
      </c>
      <c r="I3" s="1077"/>
      <c r="J3" s="1078"/>
      <c r="L3" s="396" t="s">
        <v>2450</v>
      </c>
      <c r="M3" s="397" t="s">
        <v>2451</v>
      </c>
      <c r="N3" s="398" t="s">
        <v>2452</v>
      </c>
      <c r="O3" s="399" t="s">
        <v>2453</v>
      </c>
      <c r="P3" s="399" t="s">
        <v>2454</v>
      </c>
      <c r="Q3" s="399" t="s">
        <v>2455</v>
      </c>
      <c r="R3" s="400" t="s">
        <v>2456</v>
      </c>
    </row>
    <row r="4" spans="1:18" ht="15.95" customHeight="1">
      <c r="A4" s="18">
        <v>31</v>
      </c>
      <c r="B4" s="1054" t="s">
        <v>185</v>
      </c>
      <c r="C4" s="1019"/>
      <c r="D4" s="1020"/>
      <c r="E4" s="1043">
        <f>+M4</f>
        <v>0</v>
      </c>
      <c r="F4" s="1044"/>
      <c r="G4" s="966"/>
      <c r="H4" s="967"/>
      <c r="I4" s="968"/>
      <c r="J4" s="969"/>
      <c r="L4" s="401" t="s">
        <v>2457</v>
      </c>
      <c r="M4" s="402">
        <f>+ROUND(SUM(N4:R4)+0.49,0)</f>
        <v>0</v>
      </c>
      <c r="N4" s="403">
        <v>0</v>
      </c>
      <c r="O4" s="404">
        <v>0</v>
      </c>
      <c r="P4" s="404">
        <v>0</v>
      </c>
      <c r="Q4" s="404">
        <v>0</v>
      </c>
      <c r="R4" s="405">
        <v>0</v>
      </c>
    </row>
    <row r="5" spans="1:18" ht="15.95" customHeight="1">
      <c r="A5" s="18">
        <v>32</v>
      </c>
      <c r="B5" s="1026" t="s">
        <v>159</v>
      </c>
      <c r="C5" s="1064"/>
      <c r="D5" s="1065"/>
      <c r="E5" s="1023"/>
      <c r="F5" s="1024"/>
      <c r="G5" s="1025"/>
      <c r="H5" s="967"/>
      <c r="I5" s="968"/>
      <c r="J5" s="969"/>
      <c r="L5" s="401" t="s">
        <v>2458</v>
      </c>
      <c r="M5" s="402">
        <f>+ROUND(SUM(N5:R5)+0.49,0)</f>
        <v>0</v>
      </c>
      <c r="N5" s="403">
        <v>0</v>
      </c>
      <c r="O5" s="404">
        <v>0</v>
      </c>
      <c r="P5" s="404">
        <v>0</v>
      </c>
      <c r="Q5" s="404">
        <v>0</v>
      </c>
      <c r="R5" s="405">
        <v>0</v>
      </c>
    </row>
    <row r="6" spans="1:18" ht="15.95" customHeight="1">
      <c r="A6" s="18">
        <v>33</v>
      </c>
      <c r="B6" s="1054" t="s">
        <v>61</v>
      </c>
      <c r="C6" s="1061"/>
      <c r="D6" s="1062"/>
      <c r="E6" s="1043">
        <v>0</v>
      </c>
      <c r="F6" s="1044"/>
      <c r="G6" s="966"/>
      <c r="H6" s="967"/>
      <c r="I6" s="968"/>
      <c r="J6" s="969"/>
      <c r="L6" s="401" t="s">
        <v>2459</v>
      </c>
      <c r="M6" s="402">
        <f>+ROUND(SUM(N6:R6)+0.49,0)</f>
        <v>0</v>
      </c>
      <c r="N6" s="403">
        <v>0</v>
      </c>
      <c r="O6" s="404">
        <v>0</v>
      </c>
      <c r="P6" s="404">
        <v>0</v>
      </c>
      <c r="Q6" s="404">
        <v>0</v>
      </c>
      <c r="R6" s="405">
        <v>0</v>
      </c>
    </row>
    <row r="7" spans="1:18" ht="15.95" customHeight="1" thickBot="1">
      <c r="A7" s="18">
        <v>34</v>
      </c>
      <c r="B7" s="1054" t="s">
        <v>2243</v>
      </c>
      <c r="C7" s="1019"/>
      <c r="D7" s="1020"/>
      <c r="E7" s="1023">
        <f>+E4-E6</f>
        <v>0</v>
      </c>
      <c r="F7" s="1024"/>
      <c r="G7" s="1025"/>
      <c r="H7" s="967"/>
      <c r="I7" s="968"/>
      <c r="J7" s="969"/>
      <c r="L7" s="406" t="s">
        <v>2460</v>
      </c>
      <c r="M7" s="407">
        <f>+ROUND(SUM(N7:R7)+0.49,0)</f>
        <v>0</v>
      </c>
      <c r="N7" s="408">
        <v>0</v>
      </c>
      <c r="O7" s="409">
        <v>0</v>
      </c>
      <c r="P7" s="409">
        <v>0</v>
      </c>
      <c r="Q7" s="409">
        <v>0</v>
      </c>
      <c r="R7" s="410">
        <v>0</v>
      </c>
    </row>
    <row r="8" spans="1:18" ht="15.95" customHeight="1" thickBot="1">
      <c r="A8" s="17">
        <v>35</v>
      </c>
      <c r="B8" s="1051" t="s">
        <v>2541</v>
      </c>
      <c r="C8" s="1052"/>
      <c r="D8" s="1053"/>
      <c r="E8" s="1079">
        <v>0</v>
      </c>
      <c r="F8" s="1080"/>
      <c r="G8" s="1001"/>
      <c r="H8" s="1068"/>
      <c r="I8" s="1069"/>
      <c r="J8" s="1070"/>
    </row>
    <row r="9" spans="1:18" ht="12.75" customHeight="1" thickBot="1">
      <c r="A9" s="1058" t="s">
        <v>52</v>
      </c>
      <c r="B9" s="1059"/>
      <c r="C9" s="1059"/>
      <c r="D9" s="1059"/>
      <c r="E9" s="1059"/>
      <c r="F9" s="1059"/>
      <c r="G9" s="1060"/>
      <c r="H9" s="1060"/>
      <c r="I9" s="1060"/>
      <c r="J9" s="1060"/>
    </row>
    <row r="10" spans="1:18" ht="15.95" customHeight="1">
      <c r="A10" s="111">
        <v>36</v>
      </c>
      <c r="B10" s="1071" t="s">
        <v>53</v>
      </c>
      <c r="C10" s="1072"/>
      <c r="D10" s="1073"/>
      <c r="E10" s="1048">
        <f>+E7</f>
        <v>0</v>
      </c>
      <c r="F10" s="1049"/>
      <c r="G10" s="1050"/>
      <c r="H10" s="1055"/>
      <c r="I10" s="1056"/>
      <c r="J10" s="1057"/>
    </row>
    <row r="11" spans="1:18" ht="24" customHeight="1">
      <c r="A11" s="18">
        <v>37</v>
      </c>
      <c r="B11" s="1054" t="s">
        <v>2373</v>
      </c>
      <c r="C11" s="1019"/>
      <c r="D11" s="1020"/>
      <c r="E11" s="1045">
        <f>+'1Př1'!F23</f>
        <v>0</v>
      </c>
      <c r="F11" s="1046"/>
      <c r="G11" s="1047"/>
      <c r="H11" s="967"/>
      <c r="I11" s="968"/>
      <c r="J11" s="969"/>
    </row>
    <row r="12" spans="1:18" ht="15.95" customHeight="1">
      <c r="A12" s="18">
        <v>38</v>
      </c>
      <c r="B12" s="1054" t="s">
        <v>209</v>
      </c>
      <c r="C12" s="1061"/>
      <c r="D12" s="1062"/>
      <c r="E12" s="1043">
        <f>+ZAV!C32</f>
        <v>0</v>
      </c>
      <c r="F12" s="1044"/>
      <c r="G12" s="966"/>
      <c r="H12" s="967"/>
      <c r="I12" s="968"/>
      <c r="J12" s="969"/>
    </row>
    <row r="13" spans="1:18" ht="24" customHeight="1">
      <c r="A13" s="18">
        <v>39</v>
      </c>
      <c r="B13" s="1054" t="s">
        <v>2244</v>
      </c>
      <c r="C13" s="1019"/>
      <c r="D13" s="1020"/>
      <c r="E13" s="1045">
        <f>+'2Př'!G16</f>
        <v>0</v>
      </c>
      <c r="F13" s="1046"/>
      <c r="G13" s="1047"/>
      <c r="H13" s="967"/>
      <c r="I13" s="968"/>
      <c r="J13" s="969"/>
    </row>
    <row r="14" spans="1:18" ht="24" customHeight="1">
      <c r="A14" s="18">
        <v>40</v>
      </c>
      <c r="B14" s="1054" t="s">
        <v>188</v>
      </c>
      <c r="C14" s="1061"/>
      <c r="D14" s="1062"/>
      <c r="E14" s="1045">
        <f>+'2Př'!G35</f>
        <v>0</v>
      </c>
      <c r="F14" s="1046"/>
      <c r="G14" s="1047"/>
      <c r="H14" s="967"/>
      <c r="I14" s="968"/>
      <c r="J14" s="969"/>
    </row>
    <row r="15" spans="1:18" ht="15.95" customHeight="1">
      <c r="A15" s="18">
        <v>41</v>
      </c>
      <c r="B15" s="1054" t="s">
        <v>109</v>
      </c>
      <c r="C15" s="1019"/>
      <c r="D15" s="1020"/>
      <c r="E15" s="1045">
        <f>SUM(E11:E14)</f>
        <v>0</v>
      </c>
      <c r="F15" s="1046"/>
      <c r="G15" s="1047"/>
      <c r="H15" s="967"/>
      <c r="I15" s="968"/>
      <c r="J15" s="969"/>
    </row>
    <row r="16" spans="1:18" ht="15.95" customHeight="1">
      <c r="A16" s="18">
        <v>42</v>
      </c>
      <c r="B16" s="1038" t="s">
        <v>2542</v>
      </c>
      <c r="C16" s="993"/>
      <c r="D16" s="1039"/>
      <c r="E16" s="1023">
        <f>+E10+MAX(0,E15)</f>
        <v>0</v>
      </c>
      <c r="F16" s="1024"/>
      <c r="G16" s="1025"/>
      <c r="H16" s="967"/>
      <c r="I16" s="968"/>
      <c r="J16" s="969"/>
    </row>
    <row r="17" spans="1:61" ht="15.75" customHeight="1">
      <c r="A17" s="154">
        <v>43</v>
      </c>
      <c r="B17" s="1026" t="s">
        <v>159</v>
      </c>
      <c r="C17" s="1064"/>
      <c r="D17" s="1065"/>
      <c r="E17" s="1023"/>
      <c r="F17" s="1024"/>
      <c r="G17" s="1025"/>
      <c r="H17" s="967"/>
      <c r="I17" s="968"/>
      <c r="J17" s="969"/>
    </row>
    <row r="18" spans="1:61" ht="24" customHeight="1">
      <c r="A18" s="18">
        <v>44</v>
      </c>
      <c r="B18" s="1026" t="s">
        <v>2543</v>
      </c>
      <c r="C18" s="1027"/>
      <c r="D18" s="1028"/>
      <c r="E18" s="1043">
        <f>+'6Př'!E20</f>
        <v>0</v>
      </c>
      <c r="F18" s="1044"/>
      <c r="G18" s="966"/>
      <c r="H18" s="967"/>
      <c r="I18" s="968"/>
      <c r="J18" s="969"/>
    </row>
    <row r="19" spans="1:61" ht="15.95" customHeight="1" thickBot="1">
      <c r="A19" s="17">
        <v>45</v>
      </c>
      <c r="B19" s="1051" t="s">
        <v>2245</v>
      </c>
      <c r="C19" s="1052"/>
      <c r="D19" s="1053"/>
      <c r="E19" s="1030">
        <f>IF(OR(E16&gt;300000,+E7+'1Př1'!F11+'1Př1'!A27+'2Př'!G10+'2Př'!D28&gt;800000),T("LIMIT"),+E16-E18)</f>
        <v>0</v>
      </c>
      <c r="F19" s="1031"/>
      <c r="G19" s="1032"/>
      <c r="H19" s="1068"/>
      <c r="I19" s="1069"/>
      <c r="J19" s="1070"/>
      <c r="K19" s="623" t="str">
        <f>+IF(EXACT(E19,"LIMIT"),"Překročili jste limity omezené šablony, neomezenou verzi této šablony zakoupíte zde:"," ")</f>
        <v xml:space="preserve"> </v>
      </c>
    </row>
    <row r="20" spans="1:61" ht="15" customHeight="1" thickBot="1">
      <c r="A20" s="1063" t="s">
        <v>50</v>
      </c>
      <c r="B20" s="899"/>
      <c r="C20" s="899"/>
      <c r="D20" s="899"/>
      <c r="E20" s="899"/>
      <c r="F20" s="899"/>
      <c r="G20" s="899"/>
      <c r="H20" s="899"/>
      <c r="I20" s="899"/>
      <c r="J20" s="899"/>
      <c r="K20" s="958" t="str">
        <f>+IF(EXACT(E19,"LIMIT"),"http://business.center.cz/business/sablony/s3-priznani-k-dani-z-prijmu-fyzickych-osob.aspx"," ")</f>
        <v xml:space="preserve"> </v>
      </c>
      <c r="L20" s="814"/>
      <c r="M20" s="814"/>
      <c r="N20" s="814"/>
      <c r="O20" s="814"/>
    </row>
    <row r="21" spans="1:61" ht="22.5" customHeight="1">
      <c r="A21" s="996"/>
      <c r="B21" s="997"/>
      <c r="C21" s="997"/>
      <c r="D21" s="998"/>
      <c r="E21" s="112" t="s">
        <v>208</v>
      </c>
      <c r="F21" s="1066"/>
      <c r="G21" s="980"/>
      <c r="H21" s="112" t="s">
        <v>208</v>
      </c>
      <c r="I21" s="1066"/>
      <c r="J21" s="1067"/>
    </row>
    <row r="22" spans="1:61" ht="15.95" customHeight="1">
      <c r="A22" s="39">
        <v>46</v>
      </c>
      <c r="B22" s="964" t="s">
        <v>2673</v>
      </c>
      <c r="C22" s="964"/>
      <c r="D22" s="964"/>
      <c r="E22" s="138"/>
      <c r="F22" s="965">
        <v>0</v>
      </c>
      <c r="G22" s="966"/>
      <c r="H22" s="126"/>
      <c r="I22" s="959"/>
      <c r="J22" s="1029"/>
      <c r="L22" s="72" t="str">
        <f>+IF(OR(AND(AND(0&lt;F22,F22&lt;E16*0.02),AND(0&lt;F22,F22&lt;1000)),F22&gt;E16*0.3),"CHYBA"," ")</f>
        <v xml:space="preserve"> </v>
      </c>
    </row>
    <row r="23" spans="1:61" ht="15.95" customHeight="1">
      <c r="A23" s="39">
        <v>47</v>
      </c>
      <c r="B23" s="964" t="s">
        <v>2674</v>
      </c>
      <c r="C23" s="964"/>
      <c r="D23" s="999"/>
      <c r="E23" s="86"/>
      <c r="F23" s="965">
        <v>0</v>
      </c>
      <c r="G23" s="966"/>
      <c r="H23" s="126"/>
      <c r="I23" s="959"/>
      <c r="J23" s="961"/>
      <c r="L23" s="72" t="str">
        <f>IF(E23=0," ",IF(+F23/E23&gt;25000,"CHYBA"," "))</f>
        <v xml:space="preserve"> </v>
      </c>
    </row>
    <row r="24" spans="1:61" ht="24" customHeight="1">
      <c r="A24" s="39">
        <v>48</v>
      </c>
      <c r="B24" s="962" t="s">
        <v>2675</v>
      </c>
      <c r="C24" s="962"/>
      <c r="D24" s="963"/>
      <c r="E24" s="138"/>
      <c r="F24" s="965">
        <v>0</v>
      </c>
      <c r="G24" s="966"/>
      <c r="H24" s="126"/>
      <c r="I24" s="959"/>
      <c r="J24" s="961"/>
      <c r="L24" s="72" t="str">
        <f>+IF(AND(F24&gt;0,SUM(F$24:F$27)&gt;48000),"CHYBA"," ")</f>
        <v xml:space="preserve"> </v>
      </c>
    </row>
    <row r="25" spans="1:61" ht="15.95" customHeight="1">
      <c r="A25" s="39">
        <v>49</v>
      </c>
      <c r="B25" s="964" t="s">
        <v>2676</v>
      </c>
      <c r="C25" s="964"/>
      <c r="D25" s="964"/>
      <c r="E25" s="138"/>
      <c r="F25" s="965">
        <v>0</v>
      </c>
      <c r="G25" s="966"/>
      <c r="H25" s="126"/>
      <c r="I25" s="959"/>
      <c r="J25" s="961"/>
      <c r="L25" s="72" t="str">
        <f>+IF(AND(F25&gt;0,SUM(F$24:F$27)&gt;48000),"CHYBA"," ")</f>
        <v xml:space="preserve"> </v>
      </c>
    </row>
    <row r="26" spans="1:61" ht="15.95" customHeight="1">
      <c r="A26" s="39">
        <v>50</v>
      </c>
      <c r="B26" s="964" t="s">
        <v>2677</v>
      </c>
      <c r="C26" s="964"/>
      <c r="D26" s="964"/>
      <c r="E26" s="138"/>
      <c r="F26" s="965">
        <v>0</v>
      </c>
      <c r="G26" s="966"/>
      <c r="H26" s="126"/>
      <c r="I26" s="959"/>
      <c r="J26" s="961"/>
      <c r="L26" s="72" t="str">
        <f>+IF(AND(F26&gt;0,SUM(F$24:F$27)&gt;48000),"CHYBA"," ")</f>
        <v xml:space="preserve"> </v>
      </c>
    </row>
    <row r="27" spans="1:61" ht="15.95" customHeight="1">
      <c r="A27" s="39">
        <v>51</v>
      </c>
      <c r="B27" s="962" t="s">
        <v>2678</v>
      </c>
      <c r="C27" s="962"/>
      <c r="D27" s="962"/>
      <c r="E27" s="138"/>
      <c r="F27" s="965">
        <v>0</v>
      </c>
      <c r="G27" s="966"/>
      <c r="H27" s="126"/>
      <c r="I27" s="959"/>
      <c r="J27" s="961"/>
      <c r="L27" s="72" t="str">
        <f>+IF(AND(F27&gt;0,SUM(F$24:F$27)&gt;48000),"CHYBA"," ")</f>
        <v xml:space="preserve"> </v>
      </c>
    </row>
    <row r="28" spans="1:61" ht="15.95" customHeight="1">
      <c r="A28" s="39">
        <v>52</v>
      </c>
      <c r="B28" s="964" t="s">
        <v>2359</v>
      </c>
      <c r="C28" s="964"/>
      <c r="D28" s="964"/>
      <c r="E28" s="138"/>
      <c r="F28" s="965">
        <v>0</v>
      </c>
      <c r="G28" s="966"/>
      <c r="H28" s="126"/>
      <c r="I28" s="959"/>
      <c r="J28" s="961"/>
    </row>
    <row r="29" spans="1:61" ht="15.95" customHeight="1" thickBot="1">
      <c r="A29" s="40">
        <v>53</v>
      </c>
      <c r="B29" s="964" t="s">
        <v>2360</v>
      </c>
      <c r="C29" s="964"/>
      <c r="D29" s="964"/>
      <c r="E29" s="138"/>
      <c r="F29" s="1000">
        <v>0</v>
      </c>
      <c r="G29" s="1001"/>
      <c r="H29" s="526"/>
      <c r="I29" s="959"/>
      <c r="J29" s="961"/>
    </row>
    <row r="30" spans="1:61" ht="6" customHeight="1" thickBot="1">
      <c r="A30" s="1017"/>
      <c r="B30" s="1018"/>
      <c r="C30" s="1018"/>
      <c r="D30" s="1018"/>
      <c r="E30" s="1018"/>
      <c r="F30" s="1018"/>
      <c r="G30" s="1018"/>
      <c r="H30" s="1018"/>
      <c r="I30" s="1018"/>
      <c r="J30" s="1018"/>
    </row>
    <row r="31" spans="1:61" ht="24" customHeight="1">
      <c r="A31" s="113">
        <v>54</v>
      </c>
      <c r="B31" s="977" t="s">
        <v>2544</v>
      </c>
      <c r="C31" s="977"/>
      <c r="D31" s="977"/>
      <c r="E31" s="978"/>
      <c r="F31" s="1040">
        <f>+SUM('DAP2'!F22:G29)</f>
        <v>0</v>
      </c>
      <c r="G31" s="980"/>
      <c r="H31" s="981"/>
      <c r="I31" s="982"/>
      <c r="J31" s="983"/>
      <c r="BG31" s="72"/>
      <c r="BH31" s="72"/>
      <c r="BI31" s="72"/>
    </row>
    <row r="32" spans="1:61" ht="24" customHeight="1">
      <c r="A32" s="41">
        <v>55</v>
      </c>
      <c r="B32" s="1004" t="s">
        <v>2246</v>
      </c>
      <c r="C32" s="1019"/>
      <c r="D32" s="1019"/>
      <c r="E32" s="1020"/>
      <c r="F32" s="1041">
        <f>MAX(+'DAP2'!E19-'DAP2'!F31,0)</f>
        <v>0</v>
      </c>
      <c r="G32" s="1006"/>
      <c r="H32" s="959"/>
      <c r="I32" s="854"/>
      <c r="J32" s="960"/>
      <c r="BG32" s="72"/>
      <c r="BH32" s="72"/>
      <c r="BI32" s="72"/>
    </row>
    <row r="33" spans="1:61" ht="15" customHeight="1">
      <c r="A33" s="39">
        <v>56</v>
      </c>
      <c r="B33" s="1021" t="s">
        <v>2341</v>
      </c>
      <c r="C33" s="1021"/>
      <c r="D33" s="1021"/>
      <c r="E33" s="1022"/>
      <c r="F33" s="1041">
        <f>+FLOOR(F32,100)</f>
        <v>0</v>
      </c>
      <c r="G33" s="1042"/>
      <c r="H33" s="959"/>
      <c r="I33" s="854"/>
      <c r="J33" s="960"/>
      <c r="BG33" s="72"/>
      <c r="BH33" s="72"/>
      <c r="BI33" s="72"/>
    </row>
    <row r="34" spans="1:61" ht="15" customHeight="1" thickBot="1">
      <c r="A34" s="40">
        <v>57</v>
      </c>
      <c r="B34" s="1002" t="s">
        <v>110</v>
      </c>
      <c r="C34" s="1002"/>
      <c r="D34" s="1002"/>
      <c r="E34" s="1003"/>
      <c r="F34" s="984">
        <f>+F33*0.15+MAX(F33-1676052,0)*0.08</f>
        <v>0</v>
      </c>
      <c r="G34" s="985"/>
      <c r="H34" s="986"/>
      <c r="I34" s="926"/>
      <c r="J34" s="987"/>
      <c r="BG34" s="72"/>
      <c r="BH34" s="72"/>
      <c r="BI34" s="72"/>
    </row>
    <row r="35" spans="1:61" ht="15" customHeight="1" thickBot="1">
      <c r="A35" s="1033" t="s">
        <v>277</v>
      </c>
      <c r="B35" s="1034"/>
      <c r="C35" s="1034"/>
      <c r="D35" s="1034"/>
      <c r="E35" s="1035"/>
      <c r="F35" s="1035"/>
      <c r="G35" s="921"/>
      <c r="H35" s="921"/>
      <c r="I35" s="921"/>
      <c r="J35" s="921"/>
    </row>
    <row r="36" spans="1:61" ht="24" customHeight="1">
      <c r="A36" s="113">
        <v>58</v>
      </c>
      <c r="B36" s="977" t="s">
        <v>2247</v>
      </c>
      <c r="C36" s="977"/>
      <c r="D36" s="977"/>
      <c r="E36" s="978"/>
      <c r="F36" s="1036">
        <f>+IF(OR(+'3Př'!F27+'3Př'!F30&gt;0),'3Př'!F30,F34)</f>
        <v>0</v>
      </c>
      <c r="G36" s="1037"/>
      <c r="H36" s="981"/>
      <c r="I36" s="982"/>
      <c r="J36" s="983"/>
      <c r="BG36" s="72"/>
      <c r="BH36" s="72"/>
      <c r="BI36" s="72"/>
    </row>
    <row r="37" spans="1:61" ht="15.95" customHeight="1">
      <c r="A37" s="39">
        <v>59</v>
      </c>
      <c r="B37" s="962" t="s">
        <v>159</v>
      </c>
      <c r="C37" s="962"/>
      <c r="D37" s="962"/>
      <c r="E37" s="963"/>
      <c r="F37" s="970">
        <f>+MAX(0,(E4+E11-1672080-FLOOR(E8/1.34,1))*0.07)</f>
        <v>0</v>
      </c>
      <c r="G37" s="971"/>
      <c r="H37" s="959"/>
      <c r="I37" s="854"/>
      <c r="J37" s="960"/>
      <c r="BG37" s="72"/>
      <c r="BH37" s="72"/>
      <c r="BI37" s="72"/>
    </row>
    <row r="38" spans="1:61" ht="15" customHeight="1">
      <c r="A38" s="39">
        <v>60</v>
      </c>
      <c r="B38" s="962" t="s">
        <v>2545</v>
      </c>
      <c r="C38" s="962"/>
      <c r="D38" s="962"/>
      <c r="E38" s="963"/>
      <c r="F38" s="1007">
        <f>+IF(F34=F36,CEILING(F36,1),CEILING(F36,1))</f>
        <v>0</v>
      </c>
      <c r="G38" s="991"/>
      <c r="H38" s="959"/>
      <c r="I38" s="854"/>
      <c r="J38" s="960"/>
      <c r="BG38" s="72"/>
      <c r="BH38" s="72"/>
      <c r="BI38" s="72"/>
    </row>
    <row r="39" spans="1:61" ht="24" customHeight="1" thickBot="1">
      <c r="A39" s="527">
        <v>61</v>
      </c>
      <c r="B39" s="988" t="s">
        <v>54</v>
      </c>
      <c r="C39" s="988"/>
      <c r="D39" s="988"/>
      <c r="E39" s="989"/>
      <c r="F39" s="984">
        <f>IF('DAP2'!E15&lt;0,-'DAP2'!E15,0)</f>
        <v>0</v>
      </c>
      <c r="G39" s="985"/>
      <c r="H39" s="986"/>
      <c r="I39" s="926"/>
      <c r="J39" s="987"/>
      <c r="BG39" s="72"/>
      <c r="BH39" s="72"/>
      <c r="BI39" s="72"/>
    </row>
    <row r="40" spans="1:61" ht="15" customHeight="1" thickBot="1">
      <c r="A40" s="975" t="s">
        <v>296</v>
      </c>
      <c r="B40" s="976"/>
      <c r="C40" s="976"/>
      <c r="D40" s="976"/>
      <c r="E40" s="976"/>
      <c r="F40" s="976"/>
      <c r="G40" s="921"/>
      <c r="H40" s="921"/>
      <c r="I40" s="921"/>
      <c r="J40" s="921"/>
    </row>
    <row r="41" spans="1:61" ht="15.95" customHeight="1">
      <c r="A41" s="113">
        <v>62</v>
      </c>
      <c r="B41" s="977" t="s">
        <v>189</v>
      </c>
      <c r="C41" s="977"/>
      <c r="D41" s="977"/>
      <c r="E41" s="978"/>
      <c r="F41" s="979">
        <v>0</v>
      </c>
      <c r="G41" s="980"/>
      <c r="H41" s="981"/>
      <c r="I41" s="982"/>
      <c r="J41" s="983"/>
    </row>
    <row r="42" spans="1:61" ht="15.95" customHeight="1">
      <c r="A42" s="39" t="s">
        <v>2629</v>
      </c>
      <c r="B42" s="962" t="s">
        <v>2630</v>
      </c>
      <c r="C42" s="962"/>
      <c r="D42" s="962"/>
      <c r="E42" s="963"/>
      <c r="F42" s="990">
        <v>0</v>
      </c>
      <c r="G42" s="991"/>
      <c r="H42" s="992"/>
      <c r="I42" s="993"/>
      <c r="J42" s="994"/>
    </row>
    <row r="43" spans="1:61" ht="15.95" customHeight="1" thickBot="1">
      <c r="A43" s="39">
        <v>63</v>
      </c>
      <c r="B43" s="1004" t="s">
        <v>193</v>
      </c>
      <c r="C43" s="1004"/>
      <c r="D43" s="1004"/>
      <c r="E43" s="1005"/>
      <c r="F43" s="965">
        <v>0</v>
      </c>
      <c r="G43" s="1006"/>
      <c r="H43" s="959"/>
      <c r="I43" s="854"/>
      <c r="J43" s="960"/>
    </row>
    <row r="44" spans="1:61" ht="24" customHeight="1" thickBot="1">
      <c r="A44" s="1008" t="s">
        <v>2248</v>
      </c>
      <c r="B44" s="1009"/>
      <c r="C44" s="1009"/>
      <c r="D44" s="1009"/>
      <c r="E44" s="1009"/>
      <c r="F44" s="1009"/>
      <c r="G44" s="1009"/>
      <c r="H44" s="1009"/>
      <c r="I44" s="1009"/>
      <c r="J44" s="1009"/>
    </row>
    <row r="45" spans="1:61" ht="24" customHeight="1" thickBot="1">
      <c r="A45" s="1010" t="s">
        <v>2708</v>
      </c>
      <c r="B45" s="1011"/>
      <c r="C45" s="1012"/>
      <c r="D45" s="1013"/>
      <c r="E45" s="1014"/>
      <c r="F45" s="1015" t="s">
        <v>136</v>
      </c>
      <c r="G45" s="1016"/>
      <c r="H45" s="972"/>
      <c r="I45" s="973"/>
      <c r="J45" s="974"/>
    </row>
    <row r="46" spans="1:61" ht="12" customHeight="1">
      <c r="A46" s="995">
        <v>2</v>
      </c>
      <c r="B46" s="995"/>
      <c r="C46" s="995"/>
      <c r="D46" s="995"/>
      <c r="E46" s="995"/>
      <c r="F46" s="995"/>
      <c r="G46" s="995"/>
      <c r="H46" s="995"/>
      <c r="I46" s="995"/>
      <c r="J46" s="995"/>
    </row>
    <row r="47" spans="1:61">
      <c r="A47" s="72"/>
      <c r="B47" s="72"/>
      <c r="C47" s="72"/>
      <c r="D47" s="72"/>
      <c r="E47" s="72"/>
      <c r="F47" s="72"/>
      <c r="G47" s="72"/>
      <c r="H47" s="72"/>
      <c r="I47" s="72"/>
      <c r="J47" s="72"/>
    </row>
    <row r="48" spans="1:61">
      <c r="A48" s="72"/>
      <c r="B48" s="72"/>
      <c r="C48" s="72"/>
      <c r="D48" s="72"/>
      <c r="E48" s="72"/>
      <c r="F48" s="72"/>
      <c r="G48" s="72"/>
      <c r="H48" s="72"/>
      <c r="I48" s="72"/>
      <c r="J48" s="72"/>
    </row>
    <row r="49" spans="1:10">
      <c r="A49" s="72"/>
      <c r="B49" s="72"/>
      <c r="C49" s="72"/>
      <c r="D49" s="72"/>
      <c r="E49" s="72"/>
      <c r="F49" s="72"/>
      <c r="G49" s="72"/>
      <c r="H49" s="72"/>
      <c r="I49" s="72"/>
      <c r="J49" s="72"/>
    </row>
    <row r="50" spans="1:10">
      <c r="A50" s="72"/>
      <c r="B50" s="72"/>
      <c r="C50" s="72"/>
      <c r="D50" s="72"/>
      <c r="E50" s="72"/>
      <c r="F50" s="72"/>
      <c r="G50" s="72"/>
      <c r="H50" s="72"/>
      <c r="I50" s="72"/>
      <c r="J50" s="72"/>
    </row>
    <row r="51" spans="1:10">
      <c r="A51" s="72"/>
      <c r="B51" s="72"/>
      <c r="C51" s="72"/>
      <c r="D51" s="72"/>
      <c r="E51" s="72"/>
      <c r="F51" s="72"/>
      <c r="G51" s="72"/>
      <c r="H51" s="72"/>
      <c r="I51" s="72"/>
      <c r="J51" s="72"/>
    </row>
    <row r="52" spans="1:10">
      <c r="A52" s="72"/>
      <c r="B52" s="72"/>
      <c r="C52" s="72"/>
      <c r="D52" s="72"/>
      <c r="E52" s="72"/>
      <c r="F52" s="72"/>
      <c r="G52" s="72"/>
      <c r="H52" s="72"/>
      <c r="I52" s="72"/>
      <c r="J52" s="72"/>
    </row>
    <row r="53" spans="1:10">
      <c r="A53" s="72"/>
      <c r="B53" s="72"/>
      <c r="C53" s="72"/>
      <c r="D53" s="72"/>
      <c r="E53" s="72"/>
      <c r="F53" s="72"/>
      <c r="G53" s="72"/>
      <c r="H53" s="72"/>
      <c r="I53" s="72"/>
      <c r="J53" s="72"/>
    </row>
    <row r="54" spans="1:10">
      <c r="A54" s="72"/>
      <c r="B54" s="72"/>
      <c r="C54" s="72"/>
      <c r="D54" s="72"/>
      <c r="E54" s="72"/>
      <c r="F54" s="72"/>
      <c r="G54" s="72"/>
      <c r="H54" s="72"/>
      <c r="I54" s="72"/>
      <c r="J54" s="72"/>
    </row>
    <row r="55" spans="1:10">
      <c r="A55" s="72"/>
      <c r="B55" s="72"/>
      <c r="C55" s="72"/>
      <c r="D55" s="72"/>
      <c r="E55" s="72"/>
      <c r="F55" s="72"/>
      <c r="G55" s="72"/>
      <c r="H55" s="72"/>
      <c r="I55" s="72"/>
      <c r="J55" s="72"/>
    </row>
    <row r="56" spans="1:10">
      <c r="A56" s="72"/>
      <c r="B56" s="72"/>
      <c r="C56" s="72"/>
      <c r="D56" s="72"/>
      <c r="E56" s="72"/>
      <c r="F56" s="72"/>
      <c r="G56" s="72"/>
      <c r="H56" s="72"/>
      <c r="I56" s="72"/>
      <c r="J56" s="72"/>
    </row>
    <row r="57" spans="1:10">
      <c r="A57" s="72"/>
      <c r="B57" s="72"/>
      <c r="C57" s="72"/>
      <c r="D57" s="72"/>
      <c r="E57" s="72"/>
      <c r="F57" s="72"/>
      <c r="G57" s="72"/>
      <c r="H57" s="72"/>
      <c r="I57" s="72"/>
      <c r="J57" s="72"/>
    </row>
    <row r="58" spans="1:10">
      <c r="A58" s="72"/>
      <c r="B58" s="72"/>
      <c r="C58" s="72"/>
      <c r="D58" s="72"/>
      <c r="E58" s="72"/>
      <c r="F58" s="72"/>
      <c r="G58" s="72"/>
      <c r="H58" s="72"/>
      <c r="I58" s="72"/>
      <c r="J58" s="72"/>
    </row>
    <row r="59" spans="1:10">
      <c r="A59" s="72"/>
      <c r="B59" s="72"/>
      <c r="C59" s="72"/>
      <c r="D59" s="72"/>
      <c r="E59" s="72"/>
      <c r="F59" s="72"/>
      <c r="G59" s="72"/>
      <c r="H59" s="72"/>
      <c r="I59" s="72"/>
      <c r="J59" s="72"/>
    </row>
    <row r="60" spans="1:10">
      <c r="A60" s="72"/>
      <c r="B60" s="72"/>
      <c r="C60" s="72"/>
      <c r="D60" s="72"/>
      <c r="E60" s="72"/>
      <c r="F60" s="72"/>
      <c r="G60" s="72"/>
      <c r="H60" s="72"/>
      <c r="I60" s="72"/>
      <c r="J60" s="72"/>
    </row>
    <row r="61" spans="1:10">
      <c r="A61" s="72"/>
      <c r="B61" s="72"/>
      <c r="C61" s="72"/>
      <c r="D61" s="72"/>
      <c r="E61" s="72"/>
      <c r="F61" s="72"/>
      <c r="G61" s="72"/>
      <c r="H61" s="72"/>
      <c r="I61" s="72"/>
      <c r="J61" s="72"/>
    </row>
    <row r="62" spans="1:10">
      <c r="A62" s="72"/>
      <c r="B62" s="72"/>
      <c r="C62" s="72"/>
      <c r="D62" s="72"/>
      <c r="E62" s="72"/>
      <c r="F62" s="72"/>
      <c r="G62" s="72"/>
      <c r="H62" s="72"/>
      <c r="I62" s="72"/>
      <c r="J62" s="72"/>
    </row>
    <row r="63" spans="1:10">
      <c r="A63" s="72"/>
      <c r="B63" s="72"/>
      <c r="C63" s="72"/>
      <c r="D63" s="72"/>
      <c r="E63" s="72"/>
      <c r="F63" s="72"/>
      <c r="G63" s="72"/>
      <c r="H63" s="72"/>
      <c r="I63" s="72"/>
      <c r="J63" s="72"/>
    </row>
    <row r="64" spans="1:10">
      <c r="A64" s="72"/>
      <c r="B64" s="72"/>
      <c r="C64" s="72"/>
      <c r="D64" s="72"/>
      <c r="E64" s="72"/>
      <c r="F64" s="72"/>
      <c r="G64" s="72"/>
      <c r="H64" s="72"/>
      <c r="I64" s="72"/>
      <c r="J64" s="72"/>
    </row>
    <row r="65" spans="1:10">
      <c r="A65" s="72"/>
      <c r="B65" s="72"/>
      <c r="C65" s="72"/>
      <c r="D65" s="72"/>
      <c r="E65" s="72"/>
      <c r="F65" s="72"/>
      <c r="G65" s="72"/>
      <c r="H65" s="72"/>
      <c r="I65" s="72"/>
      <c r="J65" s="72"/>
    </row>
    <row r="66" spans="1:10">
      <c r="A66" s="72"/>
      <c r="B66" s="72"/>
      <c r="C66" s="72"/>
      <c r="D66" s="72"/>
      <c r="E66" s="72"/>
      <c r="F66" s="72"/>
      <c r="G66" s="72"/>
      <c r="H66" s="72"/>
      <c r="I66" s="72"/>
      <c r="J66" s="72"/>
    </row>
    <row r="67" spans="1:10">
      <c r="A67" s="72"/>
      <c r="B67" s="72"/>
      <c r="C67" s="72"/>
      <c r="D67" s="72"/>
      <c r="E67" s="72"/>
      <c r="F67" s="72"/>
      <c r="G67" s="72"/>
      <c r="H67" s="72"/>
      <c r="I67" s="72"/>
      <c r="J67" s="72"/>
    </row>
    <row r="68" spans="1:10">
      <c r="A68" s="72"/>
      <c r="B68" s="72"/>
      <c r="C68" s="72"/>
      <c r="D68" s="72"/>
      <c r="E68" s="72"/>
      <c r="F68" s="72"/>
      <c r="G68" s="72"/>
      <c r="H68" s="72"/>
      <c r="I68" s="72"/>
      <c r="J68" s="72"/>
    </row>
    <row r="69" spans="1:10">
      <c r="A69" s="72"/>
      <c r="B69" s="72"/>
      <c r="C69" s="72"/>
      <c r="D69" s="72"/>
      <c r="E69" s="72"/>
      <c r="F69" s="72"/>
      <c r="G69" s="72"/>
      <c r="H69" s="72"/>
      <c r="I69" s="72"/>
      <c r="J69" s="72"/>
    </row>
    <row r="70" spans="1:10">
      <c r="A70" s="72"/>
      <c r="B70" s="72"/>
      <c r="C70" s="72"/>
      <c r="D70" s="72"/>
      <c r="E70" s="72"/>
      <c r="F70" s="72"/>
      <c r="G70" s="72"/>
      <c r="H70" s="72"/>
      <c r="I70" s="72"/>
      <c r="J70" s="72"/>
    </row>
    <row r="71" spans="1:10">
      <c r="A71" s="72"/>
      <c r="B71" s="72"/>
      <c r="C71" s="72"/>
      <c r="D71" s="72"/>
      <c r="E71" s="72"/>
      <c r="F71" s="72"/>
      <c r="G71" s="72"/>
      <c r="H71" s="72"/>
      <c r="I71" s="72"/>
      <c r="J71" s="72"/>
    </row>
    <row r="72" spans="1:10">
      <c r="A72" s="72"/>
      <c r="B72" s="72"/>
      <c r="C72" s="72"/>
      <c r="D72" s="72"/>
      <c r="E72" s="72"/>
      <c r="F72" s="72"/>
      <c r="G72" s="72"/>
      <c r="H72" s="72"/>
      <c r="I72" s="72"/>
      <c r="J72" s="72"/>
    </row>
    <row r="73" spans="1:10">
      <c r="A73" s="72"/>
      <c r="B73" s="72"/>
      <c r="C73" s="72"/>
      <c r="D73" s="72"/>
      <c r="E73" s="72"/>
      <c r="F73" s="72"/>
      <c r="G73" s="72"/>
      <c r="H73" s="72"/>
      <c r="I73" s="72"/>
      <c r="J73" s="72"/>
    </row>
    <row r="74" spans="1:10">
      <c r="A74" s="72"/>
      <c r="B74" s="72"/>
      <c r="C74" s="72"/>
      <c r="D74" s="72"/>
      <c r="E74" s="72"/>
      <c r="F74" s="72"/>
      <c r="G74" s="72"/>
      <c r="H74" s="72"/>
      <c r="I74" s="72"/>
      <c r="J74" s="72"/>
    </row>
    <row r="75" spans="1:10">
      <c r="A75" s="72"/>
      <c r="B75" s="72"/>
      <c r="C75" s="72"/>
      <c r="D75" s="72"/>
      <c r="E75" s="72"/>
      <c r="F75" s="72"/>
      <c r="G75" s="72"/>
      <c r="H75" s="72"/>
      <c r="I75" s="72"/>
      <c r="J75" s="72"/>
    </row>
    <row r="76" spans="1:10">
      <c r="A76" s="72"/>
      <c r="B76" s="72"/>
      <c r="C76" s="72"/>
      <c r="D76" s="72"/>
      <c r="E76" s="72"/>
      <c r="F76" s="72"/>
      <c r="G76" s="72"/>
      <c r="H76" s="72"/>
      <c r="I76" s="72"/>
      <c r="J76" s="72"/>
    </row>
    <row r="77" spans="1:10">
      <c r="A77" s="72"/>
      <c r="B77" s="72"/>
      <c r="C77" s="72"/>
      <c r="D77" s="72"/>
      <c r="E77" s="72"/>
      <c r="F77" s="72"/>
      <c r="G77" s="72"/>
      <c r="H77" s="72"/>
      <c r="I77" s="72"/>
      <c r="J77" s="72"/>
    </row>
    <row r="78" spans="1:10">
      <c r="A78" s="72"/>
      <c r="B78" s="72"/>
      <c r="C78" s="72"/>
      <c r="D78" s="72"/>
      <c r="E78" s="72"/>
      <c r="F78" s="72"/>
      <c r="G78" s="72"/>
      <c r="H78" s="72"/>
      <c r="I78" s="72"/>
      <c r="J78" s="72"/>
    </row>
    <row r="79" spans="1:10">
      <c r="A79" s="72"/>
      <c r="B79" s="72"/>
      <c r="C79" s="72"/>
      <c r="D79" s="72"/>
      <c r="E79" s="72"/>
      <c r="F79" s="72"/>
      <c r="G79" s="72"/>
      <c r="H79" s="72"/>
      <c r="I79" s="72"/>
      <c r="J79" s="72"/>
    </row>
    <row r="80" spans="1:10">
      <c r="A80" s="72"/>
      <c r="B80" s="72"/>
      <c r="C80" s="72"/>
      <c r="D80" s="72"/>
      <c r="E80" s="72"/>
      <c r="F80" s="72"/>
      <c r="G80" s="72"/>
      <c r="H80" s="72"/>
      <c r="I80" s="72"/>
      <c r="J80" s="72"/>
    </row>
    <row r="81" spans="1:10">
      <c r="A81" s="72"/>
      <c r="B81" s="72"/>
      <c r="C81" s="72"/>
      <c r="D81" s="72"/>
      <c r="E81" s="72"/>
      <c r="F81" s="72"/>
      <c r="G81" s="72"/>
      <c r="H81" s="72"/>
      <c r="I81" s="72"/>
      <c r="J81" s="72"/>
    </row>
    <row r="82" spans="1:10">
      <c r="A82" s="72"/>
      <c r="B82" s="72"/>
      <c r="C82" s="72"/>
      <c r="D82" s="72"/>
      <c r="E82" s="72"/>
      <c r="F82" s="72"/>
      <c r="G82" s="72"/>
      <c r="H82" s="72"/>
      <c r="I82" s="72"/>
      <c r="J82" s="72"/>
    </row>
    <row r="83" spans="1:10">
      <c r="A83" s="72"/>
      <c r="B83" s="72"/>
      <c r="C83" s="72"/>
      <c r="D83" s="72"/>
      <c r="E83" s="72"/>
      <c r="F83" s="72"/>
      <c r="G83" s="72"/>
      <c r="H83" s="72"/>
      <c r="I83" s="72"/>
      <c r="J83" s="72"/>
    </row>
    <row r="84" spans="1:10">
      <c r="A84" s="72"/>
      <c r="B84" s="72"/>
      <c r="C84" s="72"/>
      <c r="D84" s="72"/>
      <c r="E84" s="72"/>
      <c r="F84" s="72"/>
      <c r="G84" s="72"/>
      <c r="H84" s="72"/>
      <c r="I84" s="72"/>
      <c r="J84" s="72"/>
    </row>
    <row r="85" spans="1:10">
      <c r="A85" s="72"/>
      <c r="B85" s="72"/>
      <c r="C85" s="72"/>
      <c r="D85" s="72"/>
      <c r="E85" s="72"/>
      <c r="F85" s="72"/>
      <c r="G85" s="72"/>
      <c r="H85" s="72"/>
      <c r="I85" s="72"/>
      <c r="J85" s="72"/>
    </row>
    <row r="86" spans="1:10">
      <c r="A86" s="72"/>
      <c r="B86" s="72"/>
      <c r="C86" s="72"/>
      <c r="D86" s="72"/>
      <c r="E86" s="72"/>
      <c r="F86" s="72"/>
      <c r="G86" s="72"/>
      <c r="H86" s="72"/>
      <c r="I86" s="72"/>
      <c r="J86" s="72"/>
    </row>
    <row r="87" spans="1:10">
      <c r="A87" s="72"/>
      <c r="B87" s="72"/>
      <c r="C87" s="72"/>
      <c r="D87" s="72"/>
      <c r="E87" s="72"/>
      <c r="F87" s="72"/>
      <c r="G87" s="72"/>
      <c r="H87" s="72"/>
      <c r="I87" s="72"/>
      <c r="J87" s="72"/>
    </row>
    <row r="88" spans="1:10">
      <c r="A88" s="72"/>
      <c r="B88" s="72"/>
      <c r="C88" s="72"/>
      <c r="D88" s="72"/>
      <c r="E88" s="72"/>
      <c r="F88" s="72"/>
      <c r="G88" s="72"/>
      <c r="H88" s="72"/>
      <c r="I88" s="72"/>
      <c r="J88" s="72"/>
    </row>
    <row r="89" spans="1:10">
      <c r="A89" s="72"/>
      <c r="B89" s="72"/>
      <c r="C89" s="72"/>
      <c r="D89" s="72"/>
      <c r="E89" s="72"/>
      <c r="F89" s="72"/>
      <c r="G89" s="72"/>
      <c r="H89" s="72"/>
      <c r="I89" s="72"/>
      <c r="J89" s="72"/>
    </row>
    <row r="90" spans="1:10">
      <c r="A90" s="72"/>
      <c r="B90" s="72"/>
      <c r="C90" s="72"/>
      <c r="D90" s="72"/>
      <c r="E90" s="72"/>
      <c r="F90" s="72"/>
      <c r="G90" s="72"/>
      <c r="H90" s="72"/>
      <c r="I90" s="72"/>
      <c r="J90" s="72"/>
    </row>
    <row r="91" spans="1:10">
      <c r="A91" s="72"/>
      <c r="B91" s="72"/>
      <c r="C91" s="72"/>
      <c r="D91" s="72"/>
      <c r="E91" s="72"/>
      <c r="F91" s="72"/>
      <c r="G91" s="72"/>
      <c r="H91" s="72"/>
      <c r="I91" s="72"/>
      <c r="J91" s="72"/>
    </row>
    <row r="92" spans="1:10">
      <c r="A92" s="72"/>
      <c r="B92" s="72"/>
      <c r="C92" s="72"/>
      <c r="D92" s="72"/>
      <c r="E92" s="72"/>
      <c r="F92" s="72"/>
      <c r="G92" s="72"/>
      <c r="H92" s="72"/>
      <c r="I92" s="72"/>
      <c r="J92" s="72"/>
    </row>
    <row r="93" spans="1:10">
      <c r="A93" s="72"/>
      <c r="B93" s="72"/>
      <c r="C93" s="72"/>
      <c r="D93" s="72"/>
      <c r="E93" s="72"/>
      <c r="F93" s="72"/>
      <c r="G93" s="72"/>
      <c r="H93" s="72"/>
      <c r="I93" s="72"/>
      <c r="J93" s="72"/>
    </row>
    <row r="94" spans="1:10">
      <c r="A94" s="72"/>
      <c r="B94" s="72"/>
      <c r="C94" s="72"/>
      <c r="D94" s="72"/>
      <c r="E94" s="72"/>
      <c r="F94" s="72"/>
      <c r="G94" s="72"/>
      <c r="H94" s="72"/>
      <c r="I94" s="72"/>
      <c r="J94" s="72"/>
    </row>
    <row r="95" spans="1:10">
      <c r="A95" s="72"/>
      <c r="B95" s="72"/>
      <c r="C95" s="72"/>
      <c r="D95" s="72"/>
      <c r="E95" s="72"/>
      <c r="F95" s="72"/>
      <c r="G95" s="72"/>
      <c r="H95" s="72"/>
      <c r="I95" s="72"/>
      <c r="J95" s="72"/>
    </row>
    <row r="96" spans="1:10">
      <c r="A96" s="72"/>
      <c r="B96" s="72"/>
      <c r="C96" s="72"/>
      <c r="D96" s="72"/>
      <c r="E96" s="72"/>
      <c r="F96" s="72"/>
      <c r="G96" s="72"/>
      <c r="H96" s="72"/>
      <c r="I96" s="72"/>
      <c r="J96" s="72"/>
    </row>
    <row r="97" s="72" customFormat="1"/>
    <row r="98" s="72" customFormat="1"/>
    <row r="99" s="72" customFormat="1"/>
    <row r="100" s="72" customFormat="1"/>
    <row r="101" s="72" customFormat="1"/>
    <row r="102" s="72" customFormat="1"/>
    <row r="103" s="72" customFormat="1"/>
    <row r="104" s="72" customFormat="1"/>
    <row r="105" s="72" customFormat="1"/>
    <row r="106" s="72" customFormat="1"/>
    <row r="107" s="72" customFormat="1"/>
    <row r="108" s="72" customFormat="1"/>
    <row r="109" s="72" customFormat="1"/>
    <row r="110" s="72" customFormat="1"/>
    <row r="111" s="72" customFormat="1"/>
    <row r="112" s="72" customFormat="1"/>
    <row r="113" s="72" customFormat="1"/>
    <row r="114" s="72" customFormat="1"/>
    <row r="115" s="72" customFormat="1"/>
    <row r="116" s="72" customFormat="1"/>
    <row r="117" s="72" customFormat="1"/>
    <row r="118" s="72" customFormat="1"/>
    <row r="119" s="72" customFormat="1"/>
    <row r="120" s="72" customFormat="1"/>
    <row r="121" s="72" customFormat="1"/>
    <row r="122" s="72" customFormat="1"/>
    <row r="123" s="72" customFormat="1"/>
    <row r="124" s="72" customFormat="1"/>
    <row r="125" s="72" customFormat="1"/>
    <row r="126" s="72" customFormat="1"/>
    <row r="127" s="72" customFormat="1"/>
    <row r="128" s="72" customFormat="1"/>
    <row r="129" s="72" customFormat="1"/>
    <row r="130" s="72" customFormat="1"/>
    <row r="131" s="72" customFormat="1"/>
    <row r="132" s="72" customFormat="1"/>
    <row r="133" s="72" customFormat="1"/>
    <row r="134" s="72" customFormat="1"/>
    <row r="135" s="72" customFormat="1"/>
    <row r="136" s="72" customFormat="1"/>
    <row r="137" s="72" customFormat="1"/>
    <row r="138" s="72" customFormat="1"/>
    <row r="139" s="72" customFormat="1"/>
    <row r="140" s="72" customFormat="1"/>
    <row r="141" s="72" customFormat="1"/>
    <row r="142" s="72" customFormat="1"/>
    <row r="143" s="72" customFormat="1"/>
    <row r="144" s="72" customFormat="1"/>
    <row r="145" s="72" customFormat="1"/>
    <row r="146" s="72" customFormat="1"/>
    <row r="147" s="72" customFormat="1"/>
    <row r="148" s="72" customFormat="1"/>
    <row r="149" s="72" customFormat="1"/>
    <row r="150" s="72" customFormat="1"/>
    <row r="151" s="72" customFormat="1"/>
    <row r="152" s="72" customFormat="1"/>
    <row r="153" s="72" customFormat="1"/>
    <row r="154" s="72" customFormat="1"/>
  </sheetData>
  <sheetProtection algorithmName="SHA-512" hashValue="q/bqWBvLgQ7/TR4ox32JcfiEpxgatc6LH0rdUKzgxqM940pyPi6G160cqON04DR8ikWDEkiE28MvIE7kFS7L2A==" saltValue="KwgRLxHeWI7pBDb/50iqpw==" spinCount="100000" sheet="1" objects="1" scenarios="1"/>
  <mergeCells count="122">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H12:J12"/>
    <mergeCell ref="B5:D5"/>
    <mergeCell ref="E8:G8"/>
    <mergeCell ref="H8:J8"/>
    <mergeCell ref="E5:G5"/>
    <mergeCell ref="H5:J5"/>
    <mergeCell ref="B6:D6"/>
    <mergeCell ref="H17:J17"/>
    <mergeCell ref="E17:G17"/>
    <mergeCell ref="A20:J20"/>
    <mergeCell ref="E18:G18"/>
    <mergeCell ref="B19:D19"/>
    <mergeCell ref="B17:D17"/>
    <mergeCell ref="F21:G21"/>
    <mergeCell ref="I21:J21"/>
    <mergeCell ref="H19:J19"/>
    <mergeCell ref="E12:G12"/>
    <mergeCell ref="E15:G15"/>
    <mergeCell ref="E10:G10"/>
    <mergeCell ref="B8:D8"/>
    <mergeCell ref="E6:G6"/>
    <mergeCell ref="H6:J6"/>
    <mergeCell ref="B7:D7"/>
    <mergeCell ref="E7:G7"/>
    <mergeCell ref="H7:J7"/>
    <mergeCell ref="H11:J11"/>
    <mergeCell ref="H10:J10"/>
    <mergeCell ref="A9:J9"/>
    <mergeCell ref="H13:J13"/>
    <mergeCell ref="E11:G11"/>
    <mergeCell ref="B12:D12"/>
    <mergeCell ref="E16:G16"/>
    <mergeCell ref="B18:D18"/>
    <mergeCell ref="H16:J16"/>
    <mergeCell ref="I22:J22"/>
    <mergeCell ref="H31:J31"/>
    <mergeCell ref="E19:G19"/>
    <mergeCell ref="H34:J34"/>
    <mergeCell ref="A35:J35"/>
    <mergeCell ref="B36:E36"/>
    <mergeCell ref="F36:G36"/>
    <mergeCell ref="I27:J27"/>
    <mergeCell ref="I28:J28"/>
    <mergeCell ref="I29:J29"/>
    <mergeCell ref="I24:J24"/>
    <mergeCell ref="I25:J25"/>
    <mergeCell ref="B29:D29"/>
    <mergeCell ref="B28:D28"/>
    <mergeCell ref="B16:D16"/>
    <mergeCell ref="F31:G31"/>
    <mergeCell ref="F32:G32"/>
    <mergeCell ref="F33:G33"/>
    <mergeCell ref="H32:J32"/>
    <mergeCell ref="I23:J23"/>
    <mergeCell ref="F22:G22"/>
    <mergeCell ref="A46:J46"/>
    <mergeCell ref="A21:D21"/>
    <mergeCell ref="B23:D23"/>
    <mergeCell ref="F23:G23"/>
    <mergeCell ref="F24:G24"/>
    <mergeCell ref="F25:G25"/>
    <mergeCell ref="F29:G29"/>
    <mergeCell ref="B37:E37"/>
    <mergeCell ref="B34:E34"/>
    <mergeCell ref="F34:G34"/>
    <mergeCell ref="B43:E43"/>
    <mergeCell ref="F43:G43"/>
    <mergeCell ref="H36:J36"/>
    <mergeCell ref="F38:G38"/>
    <mergeCell ref="A44:J44"/>
    <mergeCell ref="A45:B45"/>
    <mergeCell ref="C45:E45"/>
    <mergeCell ref="F45:G45"/>
    <mergeCell ref="F26:G26"/>
    <mergeCell ref="F27:G27"/>
    <mergeCell ref="A30:J30"/>
    <mergeCell ref="B31:E31"/>
    <mergeCell ref="B32:E32"/>
    <mergeCell ref="B33:E33"/>
    <mergeCell ref="H37:J37"/>
    <mergeCell ref="F37:G37"/>
    <mergeCell ref="B22:D22"/>
    <mergeCell ref="H45:J45"/>
    <mergeCell ref="H43:J43"/>
    <mergeCell ref="A40:J40"/>
    <mergeCell ref="B41:E41"/>
    <mergeCell ref="F41:G41"/>
    <mergeCell ref="H41:J41"/>
    <mergeCell ref="F39:G39"/>
    <mergeCell ref="H38:J38"/>
    <mergeCell ref="H39:J39"/>
    <mergeCell ref="B38:E38"/>
    <mergeCell ref="B39:E39"/>
    <mergeCell ref="B42:E42"/>
    <mergeCell ref="F42:G42"/>
    <mergeCell ref="H42:J42"/>
    <mergeCell ref="K20:O20"/>
    <mergeCell ref="H33:J33"/>
    <mergeCell ref="I26:J26"/>
    <mergeCell ref="B24:D24"/>
    <mergeCell ref="B25:D25"/>
    <mergeCell ref="B26:D26"/>
    <mergeCell ref="F28:G28"/>
    <mergeCell ref="B27:D27"/>
    <mergeCell ref="H18:J18"/>
  </mergeCells>
  <phoneticPr fontId="11" type="noConversion"/>
  <hyperlinks>
    <hyperlink ref="K20" r:id="rId1" display="http://business.center.cz/business/sablony/s3-priznani-k-dani-z-prijmu-fyzickych-osob.aspx" xr:uid="{438198CF-10C9-4A97-8C21-98F9934668AE}"/>
  </hyperlinks>
  <printOptions horizontalCentered="1" verticalCentered="1"/>
  <pageMargins left="0.39370078740157483" right="0.39370078740157483" top="0.39370078740157483" bottom="0.39370078740157483" header="0.51181102362204722" footer="0.51181102362204722"/>
  <pageSetup paperSize="9" scale="94" orientation="portrait"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635"/>
  <sheetViews>
    <sheetView workbookViewId="0">
      <selection activeCell="E2" sqref="E2:G2"/>
    </sheetView>
  </sheetViews>
  <sheetFormatPr defaultRowHeight="12.75"/>
  <cols>
    <col min="1" max="1" width="4.42578125" bestFit="1" customWidth="1"/>
    <col min="2" max="2" width="10" customWidth="1"/>
    <col min="3" max="3" width="36.140625" customWidth="1"/>
    <col min="4" max="11" width="7.7109375" customWidth="1"/>
    <col min="12" max="73" width="9.140625" style="72"/>
  </cols>
  <sheetData>
    <row r="1" spans="1:73" ht="24" customHeight="1">
      <c r="A1" s="996" t="s">
        <v>2709</v>
      </c>
      <c r="B1" s="997"/>
      <c r="C1" s="998"/>
      <c r="D1" s="112" t="s">
        <v>208</v>
      </c>
      <c r="E1" s="1066"/>
      <c r="F1" s="1156"/>
      <c r="G1" s="980"/>
      <c r="H1" s="112" t="s">
        <v>208</v>
      </c>
      <c r="I1" s="1066"/>
      <c r="J1" s="1151"/>
      <c r="K1" s="1067"/>
      <c r="BO1"/>
      <c r="BP1"/>
      <c r="BQ1"/>
      <c r="BR1"/>
      <c r="BS1"/>
      <c r="BT1"/>
      <c r="BU1"/>
    </row>
    <row r="2" spans="1:73" ht="18" customHeight="1">
      <c r="A2" s="39">
        <v>64</v>
      </c>
      <c r="B2" s="1021" t="s">
        <v>63</v>
      </c>
      <c r="C2" s="1022"/>
      <c r="D2" s="120"/>
      <c r="E2" s="990">
        <v>30840</v>
      </c>
      <c r="F2" s="1128"/>
      <c r="G2" s="991"/>
      <c r="H2" s="125"/>
      <c r="I2" s="959"/>
      <c r="J2" s="1144"/>
      <c r="K2" s="1145"/>
      <c r="BO2"/>
      <c r="BP2"/>
      <c r="BQ2"/>
      <c r="BR2"/>
      <c r="BS2"/>
      <c r="BT2"/>
      <c r="BU2"/>
    </row>
    <row r="3" spans="1:73" ht="18" customHeight="1">
      <c r="A3" s="39" t="s">
        <v>297</v>
      </c>
      <c r="B3" s="1021" t="s">
        <v>64</v>
      </c>
      <c r="C3" s="1022"/>
      <c r="D3" s="86">
        <v>0</v>
      </c>
      <c r="E3" s="990">
        <f>+D3*2070</f>
        <v>0</v>
      </c>
      <c r="F3" s="1152"/>
      <c r="G3" s="1153"/>
      <c r="H3" s="125"/>
      <c r="I3" s="959"/>
      <c r="J3" s="1144"/>
      <c r="K3" s="1145"/>
      <c r="L3" s="136"/>
      <c r="BO3"/>
      <c r="BP3"/>
      <c r="BQ3"/>
      <c r="BR3"/>
      <c r="BS3"/>
      <c r="BT3"/>
      <c r="BU3"/>
    </row>
    <row r="4" spans="1:73" ht="24" customHeight="1">
      <c r="A4" s="39" t="s">
        <v>298</v>
      </c>
      <c r="B4" s="1004" t="s">
        <v>65</v>
      </c>
      <c r="C4" s="1005"/>
      <c r="D4" s="86">
        <v>0</v>
      </c>
      <c r="E4" s="990">
        <f>+D4*4140</f>
        <v>0</v>
      </c>
      <c r="F4" s="1152"/>
      <c r="G4" s="1153"/>
      <c r="H4" s="125"/>
      <c r="I4" s="959"/>
      <c r="J4" s="1144"/>
      <c r="K4" s="1145"/>
      <c r="L4" s="136"/>
      <c r="BO4"/>
      <c r="BP4"/>
      <c r="BQ4"/>
      <c r="BR4"/>
      <c r="BS4"/>
      <c r="BT4"/>
      <c r="BU4"/>
    </row>
    <row r="5" spans="1:73" ht="24" customHeight="1">
      <c r="A5" s="39">
        <v>66</v>
      </c>
      <c r="B5" s="1004" t="s">
        <v>2249</v>
      </c>
      <c r="C5" s="1005"/>
      <c r="D5" s="86">
        <v>0</v>
      </c>
      <c r="E5" s="1131">
        <f>+D5*210</f>
        <v>0</v>
      </c>
      <c r="F5" s="1132"/>
      <c r="G5" s="1133"/>
      <c r="H5" s="125"/>
      <c r="I5" s="959"/>
      <c r="J5" s="1144"/>
      <c r="K5" s="1145"/>
      <c r="BO5"/>
      <c r="BP5"/>
      <c r="BQ5"/>
      <c r="BR5"/>
      <c r="BS5"/>
      <c r="BT5"/>
      <c r="BU5"/>
    </row>
    <row r="6" spans="1:73" ht="24" customHeight="1">
      <c r="A6" s="39">
        <v>67</v>
      </c>
      <c r="B6" s="1004" t="s">
        <v>2250</v>
      </c>
      <c r="C6" s="1005"/>
      <c r="D6" s="86">
        <v>0</v>
      </c>
      <c r="E6" s="1131">
        <f>+D6*420</f>
        <v>0</v>
      </c>
      <c r="F6" s="1132"/>
      <c r="G6" s="1133"/>
      <c r="H6" s="125"/>
      <c r="I6" s="959"/>
      <c r="J6" s="1144"/>
      <c r="K6" s="1145"/>
      <c r="BO6"/>
      <c r="BP6"/>
      <c r="BQ6"/>
      <c r="BR6"/>
      <c r="BS6"/>
      <c r="BT6"/>
      <c r="BU6"/>
    </row>
    <row r="7" spans="1:73" ht="18" customHeight="1">
      <c r="A7" s="39">
        <v>68</v>
      </c>
      <c r="B7" s="1004" t="s">
        <v>2513</v>
      </c>
      <c r="C7" s="1005"/>
      <c r="D7" s="86">
        <v>0</v>
      </c>
      <c r="E7" s="1131">
        <f>+D7*1345</f>
        <v>0</v>
      </c>
      <c r="F7" s="1132"/>
      <c r="G7" s="1133"/>
      <c r="H7" s="125"/>
      <c r="I7" s="959"/>
      <c r="J7" s="1144"/>
      <c r="K7" s="1145"/>
      <c r="BO7"/>
      <c r="BP7"/>
      <c r="BQ7"/>
      <c r="BR7"/>
      <c r="BS7"/>
      <c r="BT7"/>
      <c r="BU7"/>
    </row>
    <row r="8" spans="1:73" ht="18" customHeight="1">
      <c r="A8" s="39">
        <v>69</v>
      </c>
      <c r="B8" s="962" t="s">
        <v>159</v>
      </c>
      <c r="C8" s="963"/>
      <c r="D8" s="600"/>
      <c r="E8" s="1131"/>
      <c r="F8" s="1132"/>
      <c r="G8" s="1133"/>
      <c r="H8" s="125"/>
      <c r="I8" s="959"/>
      <c r="J8" s="1144"/>
      <c r="K8" s="1145"/>
      <c r="BO8"/>
      <c r="BP8"/>
      <c r="BQ8"/>
      <c r="BR8"/>
      <c r="BS8"/>
      <c r="BT8"/>
      <c r="BU8"/>
    </row>
    <row r="9" spans="1:73" ht="18" customHeight="1">
      <c r="A9" s="39" t="s">
        <v>62</v>
      </c>
      <c r="B9" s="962" t="s">
        <v>159</v>
      </c>
      <c r="C9" s="963"/>
      <c r="D9" s="601"/>
      <c r="E9" s="1131"/>
      <c r="F9" s="1132"/>
      <c r="G9" s="1133"/>
      <c r="H9" s="125"/>
      <c r="I9" s="959"/>
      <c r="J9" s="1144"/>
      <c r="K9" s="1145"/>
      <c r="BO9"/>
      <c r="BP9"/>
      <c r="BQ9"/>
      <c r="BR9"/>
      <c r="BS9"/>
      <c r="BT9"/>
      <c r="BU9"/>
    </row>
    <row r="10" spans="1:73" ht="18" customHeight="1">
      <c r="A10" s="39" t="s">
        <v>2361</v>
      </c>
      <c r="B10" s="962" t="s">
        <v>159</v>
      </c>
      <c r="C10" s="963"/>
      <c r="D10" s="601"/>
      <c r="E10" s="1131"/>
      <c r="F10" s="1132"/>
      <c r="G10" s="1133"/>
      <c r="H10" s="125"/>
      <c r="I10" s="959"/>
      <c r="J10" s="1144"/>
      <c r="K10" s="1145"/>
      <c r="BO10"/>
      <c r="BP10"/>
      <c r="BQ10"/>
      <c r="BR10"/>
      <c r="BS10"/>
      <c r="BT10"/>
      <c r="BU10"/>
    </row>
    <row r="11" spans="1:73" ht="30" customHeight="1">
      <c r="A11" s="39">
        <v>70</v>
      </c>
      <c r="B11" s="962" t="s">
        <v>2679</v>
      </c>
      <c r="C11" s="963"/>
      <c r="D11" s="120"/>
      <c r="E11" s="1041">
        <f>+SUM(E2:F7)+'DAP2'!F41+'DAP2'!F42+'DAP2'!F43</f>
        <v>30840</v>
      </c>
      <c r="F11" s="1134"/>
      <c r="G11" s="1135"/>
      <c r="H11" s="125"/>
      <c r="I11" s="959"/>
      <c r="J11" s="1144"/>
      <c r="K11" s="1145"/>
      <c r="BR11"/>
      <c r="BS11"/>
      <c r="BT11"/>
      <c r="BU11"/>
    </row>
    <row r="12" spans="1:73" ht="24" customHeight="1" thickBot="1">
      <c r="A12" s="40">
        <v>71</v>
      </c>
      <c r="B12" s="1158" t="s">
        <v>2251</v>
      </c>
      <c r="C12" s="1159"/>
      <c r="D12" s="121"/>
      <c r="E12" s="984">
        <f>+MAX('DAP2'!F38-'DAP3'!E11,0)</f>
        <v>0</v>
      </c>
      <c r="F12" s="1136"/>
      <c r="G12" s="1137"/>
      <c r="H12" s="127"/>
      <c r="I12" s="986"/>
      <c r="J12" s="1146"/>
      <c r="K12" s="1147"/>
      <c r="BR12"/>
      <c r="BS12"/>
      <c r="BT12"/>
      <c r="BU12"/>
    </row>
    <row r="13" spans="1:73" ht="15.95" customHeight="1" thickBot="1">
      <c r="A13" s="1100" t="s">
        <v>2252</v>
      </c>
      <c r="B13" s="1100"/>
      <c r="C13" s="1101"/>
      <c r="D13" s="1101"/>
      <c r="E13" s="1101"/>
      <c r="F13" s="1101"/>
      <c r="G13" s="1101"/>
      <c r="H13" s="1101"/>
      <c r="I13" s="1101"/>
      <c r="J13" s="1101"/>
      <c r="K13" s="1101"/>
    </row>
    <row r="14" spans="1:73" ht="22.5" customHeight="1">
      <c r="A14" s="1169"/>
      <c r="B14" s="1106" t="s">
        <v>2255</v>
      </c>
      <c r="C14" s="1107"/>
      <c r="D14" s="1106" t="s">
        <v>136</v>
      </c>
      <c r="E14" s="1139"/>
      <c r="F14" s="1140" t="s">
        <v>2253</v>
      </c>
      <c r="G14" s="1141"/>
      <c r="H14" s="1140" t="s">
        <v>2254</v>
      </c>
      <c r="I14" s="1141"/>
      <c r="J14" s="1140" t="s">
        <v>2325</v>
      </c>
      <c r="K14" s="1155"/>
      <c r="BQ14"/>
      <c r="BR14"/>
      <c r="BS14"/>
      <c r="BT14"/>
      <c r="BU14"/>
    </row>
    <row r="15" spans="1:73" ht="21.95" customHeight="1">
      <c r="A15" s="1170"/>
      <c r="B15" s="1108"/>
      <c r="C15" s="1109"/>
      <c r="D15" s="1108"/>
      <c r="E15" s="1109"/>
      <c r="F15" s="584" t="s">
        <v>2323</v>
      </c>
      <c r="G15" s="584" t="s">
        <v>2324</v>
      </c>
      <c r="H15" s="584" t="s">
        <v>2323</v>
      </c>
      <c r="I15" s="584" t="s">
        <v>2324</v>
      </c>
      <c r="J15" s="584" t="s">
        <v>2323</v>
      </c>
      <c r="K15" s="317" t="s">
        <v>2324</v>
      </c>
      <c r="BQ15"/>
      <c r="BR15"/>
      <c r="BS15"/>
      <c r="BT15"/>
      <c r="BU15"/>
    </row>
    <row r="16" spans="1:73" ht="12" customHeight="1">
      <c r="A16" s="1171"/>
      <c r="B16" s="1102">
        <v>1</v>
      </c>
      <c r="C16" s="1103"/>
      <c r="D16" s="1102">
        <v>2</v>
      </c>
      <c r="E16" s="1102"/>
      <c r="F16" s="1142">
        <v>3</v>
      </c>
      <c r="G16" s="1143"/>
      <c r="H16" s="1142">
        <v>4</v>
      </c>
      <c r="I16" s="1143"/>
      <c r="J16" s="1142">
        <v>5</v>
      </c>
      <c r="K16" s="1157"/>
      <c r="BQ16"/>
      <c r="BR16"/>
      <c r="BS16"/>
      <c r="BT16"/>
      <c r="BU16"/>
    </row>
    <row r="17" spans="1:73" ht="18" customHeight="1">
      <c r="A17" s="131">
        <v>1</v>
      </c>
      <c r="B17" s="1083" t="s">
        <v>130</v>
      </c>
      <c r="C17" s="1084"/>
      <c r="D17" s="1127"/>
      <c r="E17" s="1138"/>
      <c r="F17" s="585"/>
      <c r="G17" s="585"/>
      <c r="H17" s="585"/>
      <c r="I17" s="585"/>
      <c r="J17" s="585"/>
      <c r="K17" s="395"/>
      <c r="BQ17"/>
      <c r="BR17"/>
      <c r="BS17"/>
      <c r="BT17"/>
      <c r="BU17"/>
    </row>
    <row r="18" spans="1:73" ht="18" customHeight="1">
      <c r="A18" s="131">
        <v>2</v>
      </c>
      <c r="B18" s="1083" t="s">
        <v>130</v>
      </c>
      <c r="C18" s="1084"/>
      <c r="D18" s="1127"/>
      <c r="E18" s="1127"/>
      <c r="F18" s="585"/>
      <c r="G18" s="585"/>
      <c r="H18" s="585"/>
      <c r="I18" s="585"/>
      <c r="J18" s="585"/>
      <c r="K18" s="395"/>
      <c r="BQ18"/>
      <c r="BR18"/>
      <c r="BS18"/>
      <c r="BT18"/>
      <c r="BU18"/>
    </row>
    <row r="19" spans="1:73" ht="18" customHeight="1">
      <c r="A19" s="131">
        <v>3</v>
      </c>
      <c r="B19" s="1083" t="s">
        <v>130</v>
      </c>
      <c r="C19" s="1084"/>
      <c r="D19" s="1127"/>
      <c r="E19" s="1127"/>
      <c r="F19" s="585"/>
      <c r="G19" s="585"/>
      <c r="H19" s="585"/>
      <c r="I19" s="585"/>
      <c r="J19" s="585"/>
      <c r="K19" s="395"/>
      <c r="BQ19"/>
      <c r="BR19"/>
      <c r="BS19"/>
      <c r="BT19"/>
      <c r="BU19"/>
    </row>
    <row r="20" spans="1:73" ht="18" customHeight="1">
      <c r="A20" s="131">
        <v>4</v>
      </c>
      <c r="B20" s="1083" t="s">
        <v>130</v>
      </c>
      <c r="C20" s="1084"/>
      <c r="D20" s="1127"/>
      <c r="E20" s="1127"/>
      <c r="F20" s="585"/>
      <c r="G20" s="585"/>
      <c r="H20" s="585"/>
      <c r="I20" s="585"/>
      <c r="J20" s="585"/>
      <c r="K20" s="395"/>
      <c r="BQ20"/>
      <c r="BR20"/>
      <c r="BS20"/>
      <c r="BT20"/>
      <c r="BU20"/>
    </row>
    <row r="21" spans="1:73" ht="15.95" customHeight="1" thickBot="1">
      <c r="A21" s="132"/>
      <c r="B21" s="1129" t="s">
        <v>55</v>
      </c>
      <c r="C21" s="1130"/>
      <c r="D21" s="1154"/>
      <c r="E21" s="1154"/>
      <c r="F21" s="316">
        <f t="shared" ref="F21:I21" si="0">+SUM(F17:F20)</f>
        <v>0</v>
      </c>
      <c r="G21" s="316">
        <f t="shared" si="0"/>
        <v>0</v>
      </c>
      <c r="H21" s="316">
        <f t="shared" si="0"/>
        <v>0</v>
      </c>
      <c r="I21" s="316">
        <f t="shared" si="0"/>
        <v>0</v>
      </c>
      <c r="J21" s="316">
        <f>+SUM(J17:J20)+Příl_děti!J13</f>
        <v>0</v>
      </c>
      <c r="K21" s="583">
        <f>+SUM(K17:K20)+Příl_děti!K13</f>
        <v>0</v>
      </c>
      <c r="BU21"/>
    </row>
    <row r="22" spans="1:73" ht="6" customHeight="1" thickBot="1">
      <c r="A22" s="1099"/>
      <c r="B22" s="1099"/>
      <c r="C22" s="1009"/>
      <c r="D22" s="1009"/>
      <c r="E22" s="1009"/>
      <c r="F22" s="1009"/>
      <c r="G22" s="1009"/>
      <c r="H22" s="1009"/>
      <c r="I22" s="1009"/>
      <c r="J22" s="1009"/>
      <c r="K22" s="1009"/>
    </row>
    <row r="23" spans="1:73" ht="18" customHeight="1">
      <c r="A23" s="111">
        <v>72</v>
      </c>
      <c r="B23" s="1071" t="s">
        <v>56</v>
      </c>
      <c r="C23" s="1098"/>
      <c r="D23" s="1123">
        <f>+F21*1267+G21*2534+H21*1860+I21*3720+J21*2320+K21*4640</f>
        <v>0</v>
      </c>
      <c r="E23" s="1124"/>
      <c r="F23" s="1124"/>
      <c r="G23" s="1125"/>
      <c r="H23" s="1077"/>
      <c r="I23" s="1081"/>
      <c r="J23" s="1081"/>
      <c r="K23" s="1082"/>
      <c r="L23" s="136"/>
    </row>
    <row r="24" spans="1:73" ht="24" customHeight="1">
      <c r="A24" s="18">
        <v>73</v>
      </c>
      <c r="B24" s="1026" t="s">
        <v>2256</v>
      </c>
      <c r="C24" s="1093"/>
      <c r="D24" s="1087">
        <f>+MIN(D23,E12)</f>
        <v>0</v>
      </c>
      <c r="E24" s="1088"/>
      <c r="F24" s="1088"/>
      <c r="G24" s="1089"/>
      <c r="H24" s="1095"/>
      <c r="I24" s="1096"/>
      <c r="J24" s="1096"/>
      <c r="K24" s="1097"/>
    </row>
    <row r="25" spans="1:73" ht="18" customHeight="1">
      <c r="A25" s="528">
        <v>74</v>
      </c>
      <c r="B25" s="1085" t="s">
        <v>2362</v>
      </c>
      <c r="C25" s="1086"/>
      <c r="D25" s="1087">
        <f>+E12-D24</f>
        <v>0</v>
      </c>
      <c r="E25" s="1088"/>
      <c r="F25" s="1088"/>
      <c r="G25" s="1089"/>
      <c r="H25" s="1090"/>
      <c r="I25" s="1091"/>
      <c r="J25" s="1091"/>
      <c r="K25" s="1092"/>
    </row>
    <row r="26" spans="1:73" ht="24" customHeight="1" thickBot="1">
      <c r="A26" s="529" t="s">
        <v>2546</v>
      </c>
      <c r="B26" s="1120" t="s">
        <v>2631</v>
      </c>
      <c r="C26" s="1121"/>
      <c r="D26" s="1030">
        <f>+'4Př'!F21</f>
        <v>0</v>
      </c>
      <c r="E26" s="1031"/>
      <c r="F26" s="1031"/>
      <c r="G26" s="1122"/>
      <c r="H26" s="1110"/>
      <c r="I26" s="1111"/>
      <c r="J26" s="1111"/>
      <c r="K26" s="1112"/>
    </row>
    <row r="27" spans="1:73" ht="6" customHeight="1" thickBot="1">
      <c r="A27" s="1099"/>
      <c r="B27" s="1099"/>
      <c r="C27" s="1009"/>
      <c r="D27" s="1009"/>
      <c r="E27" s="1009"/>
      <c r="F27" s="1009"/>
      <c r="G27" s="1009"/>
      <c r="H27" s="1009"/>
      <c r="I27" s="1009"/>
      <c r="J27" s="1009"/>
      <c r="K27" s="1009"/>
    </row>
    <row r="28" spans="1:73" ht="18" customHeight="1">
      <c r="A28" s="111">
        <v>75</v>
      </c>
      <c r="B28" s="1071" t="s">
        <v>2547</v>
      </c>
      <c r="C28" s="1098"/>
      <c r="D28" s="1123">
        <f>+D25+D26</f>
        <v>0</v>
      </c>
      <c r="E28" s="1124"/>
      <c r="F28" s="1124"/>
      <c r="G28" s="1125"/>
      <c r="H28" s="1077"/>
      <c r="I28" s="1081"/>
      <c r="J28" s="1081"/>
      <c r="K28" s="1082"/>
    </row>
    <row r="29" spans="1:73" ht="18" customHeight="1">
      <c r="A29" s="18">
        <v>76</v>
      </c>
      <c r="B29" s="1026" t="s">
        <v>2257</v>
      </c>
      <c r="C29" s="1093"/>
      <c r="D29" s="1094">
        <f>IF(OR(+D23-D24&lt;99,+MAX('1Př1'!F11+'1Př1'!A27+'1Př1'!F19+'1Př1'!F22)+'DAP2'!E7&lt;6*20800),0,+D23-D24)</f>
        <v>0</v>
      </c>
      <c r="E29" s="1088"/>
      <c r="F29" s="1088"/>
      <c r="G29" s="1089"/>
      <c r="H29" s="1095"/>
      <c r="I29" s="1096"/>
      <c r="J29" s="1096"/>
      <c r="K29" s="1097"/>
    </row>
    <row r="30" spans="1:73" ht="24" customHeight="1">
      <c r="A30" s="18">
        <v>77</v>
      </c>
      <c r="B30" s="1026" t="s">
        <v>2548</v>
      </c>
      <c r="C30" s="1093"/>
      <c r="D30" s="1087">
        <f>+MAX(0,D28-D29)</f>
        <v>0</v>
      </c>
      <c r="E30" s="1088"/>
      <c r="F30" s="1088"/>
      <c r="G30" s="1089"/>
      <c r="H30" s="1095"/>
      <c r="I30" s="1096"/>
      <c r="J30" s="1096"/>
      <c r="K30" s="1097"/>
    </row>
    <row r="31" spans="1:73" ht="24" customHeight="1" thickBot="1">
      <c r="A31" s="17" t="s">
        <v>2549</v>
      </c>
      <c r="B31" s="1051" t="s">
        <v>2550</v>
      </c>
      <c r="C31" s="1116"/>
      <c r="D31" s="1079">
        <f>+MAX(0,-D28+D29)</f>
        <v>0</v>
      </c>
      <c r="E31" s="1080"/>
      <c r="F31" s="1080"/>
      <c r="G31" s="1126"/>
      <c r="H31" s="1113"/>
      <c r="I31" s="1114"/>
      <c r="J31" s="1114"/>
      <c r="K31" s="1115"/>
    </row>
    <row r="32" spans="1:73" ht="15.95" customHeight="1" thickBot="1">
      <c r="A32" s="1118" t="s">
        <v>299</v>
      </c>
      <c r="B32" s="1118"/>
      <c r="C32" s="1119"/>
      <c r="D32" s="1119"/>
      <c r="E32" s="1119"/>
      <c r="F32" s="1119"/>
      <c r="G32" s="1119"/>
      <c r="H32" s="1119"/>
      <c r="I32" s="1119"/>
      <c r="J32" s="1119"/>
      <c r="K32" s="1119"/>
    </row>
    <row r="33" spans="1:11" ht="18" customHeight="1">
      <c r="A33" s="18">
        <v>78</v>
      </c>
      <c r="B33" s="1164" t="s">
        <v>194</v>
      </c>
      <c r="C33" s="1165"/>
      <c r="D33" s="1123">
        <v>0</v>
      </c>
      <c r="E33" s="1124"/>
      <c r="F33" s="1124"/>
      <c r="G33" s="1125"/>
      <c r="H33" s="1095"/>
      <c r="I33" s="1117"/>
      <c r="J33" s="1117"/>
      <c r="K33" s="1097"/>
    </row>
    <row r="34" spans="1:11" ht="24" customHeight="1">
      <c r="A34" s="18">
        <v>79</v>
      </c>
      <c r="B34" s="1167" t="s">
        <v>2551</v>
      </c>
      <c r="C34" s="1168"/>
      <c r="D34" s="1043">
        <f>+IF(OR(EXACT("X",'DAP1'!E13),EXACT("x",'DAP1'!E13)),'DAP3'!D26,0)</f>
        <v>0</v>
      </c>
      <c r="E34" s="1044"/>
      <c r="F34" s="1044"/>
      <c r="G34" s="1150"/>
      <c r="H34" s="1095"/>
      <c r="I34" s="1117"/>
      <c r="J34" s="1117"/>
      <c r="K34" s="1097"/>
    </row>
    <row r="35" spans="1:11" ht="24" customHeight="1">
      <c r="A35" s="18">
        <v>80</v>
      </c>
      <c r="B35" s="1104" t="s">
        <v>2258</v>
      </c>
      <c r="C35" s="1105"/>
      <c r="D35" s="1045">
        <f>+D34-D33</f>
        <v>0</v>
      </c>
      <c r="E35" s="1046"/>
      <c r="F35" s="1046"/>
      <c r="G35" s="1166"/>
      <c r="H35" s="1095"/>
      <c r="I35" s="1117"/>
      <c r="J35" s="1117"/>
      <c r="K35" s="1097"/>
    </row>
    <row r="36" spans="1:11" ht="18" customHeight="1">
      <c r="A36" s="18">
        <v>81</v>
      </c>
      <c r="B36" s="1104" t="s">
        <v>2259</v>
      </c>
      <c r="C36" s="1105"/>
      <c r="D36" s="1043">
        <v>0</v>
      </c>
      <c r="E36" s="1044"/>
      <c r="F36" s="1044"/>
      <c r="G36" s="1150"/>
      <c r="H36" s="1095"/>
      <c r="I36" s="1117"/>
      <c r="J36" s="1117"/>
      <c r="K36" s="1097"/>
    </row>
    <row r="37" spans="1:11" ht="24" customHeight="1">
      <c r="A37" s="18">
        <v>82</v>
      </c>
      <c r="B37" s="1104" t="s">
        <v>195</v>
      </c>
      <c r="C37" s="1105"/>
      <c r="D37" s="1043">
        <f>+IF(OR(EXACT("X",'DAP1'!E13),EXACT("x",'DAP1'!E13)),'DAP2'!F39,0)</f>
        <v>0</v>
      </c>
      <c r="E37" s="1044"/>
      <c r="F37" s="1044"/>
      <c r="G37" s="1150"/>
      <c r="H37" s="1095"/>
      <c r="I37" s="1117"/>
      <c r="J37" s="1117"/>
      <c r="K37" s="1097"/>
    </row>
    <row r="38" spans="1:11" ht="24" customHeight="1" thickBot="1">
      <c r="A38" s="17">
        <v>83</v>
      </c>
      <c r="B38" s="1162" t="s">
        <v>2260</v>
      </c>
      <c r="C38" s="1163"/>
      <c r="D38" s="1030">
        <f>+D37-D36</f>
        <v>0</v>
      </c>
      <c r="E38" s="1031"/>
      <c r="F38" s="1031"/>
      <c r="G38" s="1122"/>
      <c r="H38" s="1113"/>
      <c r="I38" s="1114"/>
      <c r="J38" s="1114"/>
      <c r="K38" s="1115"/>
    </row>
    <row r="39" spans="1:11" ht="15.95" customHeight="1" thickBot="1">
      <c r="A39" s="1118" t="s">
        <v>300</v>
      </c>
      <c r="B39" s="1118"/>
      <c r="C39" s="1119"/>
      <c r="D39" s="1119"/>
      <c r="E39" s="1119"/>
      <c r="F39" s="1119"/>
      <c r="G39" s="1119"/>
      <c r="H39" s="1119"/>
      <c r="I39" s="1119"/>
      <c r="J39" s="1119"/>
      <c r="K39" s="1119"/>
    </row>
    <row r="40" spans="1:11" ht="24" customHeight="1">
      <c r="A40" s="109">
        <v>84</v>
      </c>
      <c r="B40" s="1054" t="s">
        <v>2261</v>
      </c>
      <c r="C40" s="1161"/>
      <c r="D40" s="1123">
        <f>+'DAP2'!M5</f>
        <v>0</v>
      </c>
      <c r="E40" s="1124"/>
      <c r="F40" s="1124"/>
      <c r="G40" s="1125"/>
      <c r="H40" s="1095"/>
      <c r="I40" s="1117"/>
      <c r="J40" s="1117"/>
      <c r="K40" s="1097"/>
    </row>
    <row r="41" spans="1:11" ht="18" customHeight="1">
      <c r="A41" s="18">
        <v>85</v>
      </c>
      <c r="B41" s="1148" t="s">
        <v>96</v>
      </c>
      <c r="C41" s="1149"/>
      <c r="D41" s="1043">
        <v>0</v>
      </c>
      <c r="E41" s="1044"/>
      <c r="F41" s="1044"/>
      <c r="G41" s="1150"/>
      <c r="H41" s="1095"/>
      <c r="I41" s="1117"/>
      <c r="J41" s="1117"/>
      <c r="K41" s="1097"/>
    </row>
    <row r="42" spans="1:11" ht="24" customHeight="1">
      <c r="A42" s="18">
        <v>86</v>
      </c>
      <c r="B42" s="1026" t="s">
        <v>2552</v>
      </c>
      <c r="C42" s="1160"/>
      <c r="D42" s="1043">
        <v>0</v>
      </c>
      <c r="E42" s="1044"/>
      <c r="F42" s="1044"/>
      <c r="G42" s="1150"/>
      <c r="H42" s="1095"/>
      <c r="I42" s="1117"/>
      <c r="J42" s="1117"/>
      <c r="K42" s="1097"/>
    </row>
    <row r="43" spans="1:11" ht="18" customHeight="1">
      <c r="A43" s="18">
        <v>87</v>
      </c>
      <c r="B43" s="1148" t="s">
        <v>2627</v>
      </c>
      <c r="C43" s="1149"/>
      <c r="D43" s="1043">
        <f>+'DAP2'!M6</f>
        <v>0</v>
      </c>
      <c r="E43" s="1044"/>
      <c r="F43" s="1044"/>
      <c r="G43" s="1150"/>
      <c r="H43" s="1095"/>
      <c r="I43" s="1117"/>
      <c r="J43" s="1117"/>
      <c r="K43" s="1097"/>
    </row>
    <row r="44" spans="1:11" ht="18" customHeight="1">
      <c r="A44" s="18" t="s">
        <v>264</v>
      </c>
      <c r="B44" s="1148" t="s">
        <v>265</v>
      </c>
      <c r="C44" s="1149"/>
      <c r="D44" s="1043">
        <v>0</v>
      </c>
      <c r="E44" s="1044"/>
      <c r="F44" s="1044"/>
      <c r="G44" s="1150"/>
      <c r="H44" s="1095"/>
      <c r="I44" s="1117"/>
      <c r="J44" s="1117"/>
      <c r="K44" s="1097"/>
    </row>
    <row r="45" spans="1:11" ht="18" customHeight="1">
      <c r="A45" s="18">
        <v>88</v>
      </c>
      <c r="B45" s="1038" t="s">
        <v>105</v>
      </c>
      <c r="C45" s="1160"/>
      <c r="D45" s="1043">
        <v>0</v>
      </c>
      <c r="E45" s="1044"/>
      <c r="F45" s="1044"/>
      <c r="G45" s="1150"/>
      <c r="H45" s="1095"/>
      <c r="I45" s="1117"/>
      <c r="J45" s="1117"/>
      <c r="K45" s="1097"/>
    </row>
    <row r="46" spans="1:11" ht="24" customHeight="1">
      <c r="A46" s="18">
        <v>89</v>
      </c>
      <c r="B46" s="1026" t="s">
        <v>2553</v>
      </c>
      <c r="C46" s="1160"/>
      <c r="D46" s="1043">
        <f>+'DAP2'!M7</f>
        <v>0</v>
      </c>
      <c r="E46" s="1044"/>
      <c r="F46" s="1044"/>
      <c r="G46" s="1150"/>
      <c r="H46" s="1095"/>
      <c r="I46" s="1117"/>
      <c r="J46" s="1117"/>
      <c r="K46" s="1097"/>
    </row>
    <row r="47" spans="1:11" ht="18" customHeight="1">
      <c r="A47" s="18">
        <v>90</v>
      </c>
      <c r="B47" s="1148" t="s">
        <v>82</v>
      </c>
      <c r="C47" s="1149"/>
      <c r="D47" s="1043">
        <v>0</v>
      </c>
      <c r="E47" s="1044"/>
      <c r="F47" s="1044"/>
      <c r="G47" s="1150"/>
      <c r="H47" s="1095"/>
      <c r="I47" s="1117"/>
      <c r="J47" s="1117"/>
      <c r="K47" s="1097"/>
    </row>
    <row r="48" spans="1:11" ht="24" customHeight="1" thickBot="1">
      <c r="A48" s="18">
        <v>91</v>
      </c>
      <c r="B48" s="1162" t="s">
        <v>2614</v>
      </c>
      <c r="C48" s="1163"/>
      <c r="D48" s="1030">
        <f>+IF(OR(EXACT("X",'DAP1'!E13),EXACT("x",'DAP1'!E13)),0,+D30-D31-SUM(D40:E45)+D46-D47)</f>
        <v>0</v>
      </c>
      <c r="E48" s="1031"/>
      <c r="F48" s="1031"/>
      <c r="G48" s="1122"/>
      <c r="H48" s="1095"/>
      <c r="I48" s="1117"/>
      <c r="J48" s="1117"/>
      <c r="K48" s="1097"/>
    </row>
    <row r="49" spans="1:11">
      <c r="A49" s="1033">
        <v>3</v>
      </c>
      <c r="B49" s="1033"/>
      <c r="C49" s="1033"/>
      <c r="D49" s="1033"/>
      <c r="E49" s="1033"/>
      <c r="F49" s="1033"/>
      <c r="G49" s="1033"/>
      <c r="H49" s="1033"/>
      <c r="I49" s="1033"/>
      <c r="J49" s="1033"/>
      <c r="K49" s="1033"/>
    </row>
    <row r="50" spans="1:11">
      <c r="A50" s="72"/>
      <c r="B50" s="72"/>
      <c r="C50" s="72"/>
      <c r="D50" s="72"/>
      <c r="E50" s="72"/>
      <c r="F50" s="72"/>
      <c r="G50" s="72"/>
      <c r="H50" s="72"/>
      <c r="I50" s="72"/>
      <c r="J50" s="72"/>
      <c r="K50" s="72"/>
    </row>
    <row r="51" spans="1:11">
      <c r="A51" s="72"/>
      <c r="B51" s="72"/>
      <c r="C51" s="72"/>
      <c r="D51" s="72"/>
      <c r="E51" s="72"/>
      <c r="F51" s="72"/>
      <c r="G51" s="72"/>
      <c r="H51" s="72"/>
      <c r="I51" s="72"/>
      <c r="J51" s="72"/>
      <c r="K51" s="72"/>
    </row>
    <row r="52" spans="1:11">
      <c r="A52" s="72"/>
      <c r="B52" s="72"/>
      <c r="C52" s="72"/>
      <c r="D52" s="72"/>
      <c r="E52" s="72"/>
      <c r="F52" s="72"/>
      <c r="G52" s="72"/>
      <c r="H52" s="72"/>
      <c r="I52" s="72"/>
      <c r="J52" s="72"/>
      <c r="K52" s="72"/>
    </row>
    <row r="53" spans="1:11">
      <c r="A53" s="72"/>
      <c r="B53" s="72"/>
      <c r="C53" s="72"/>
      <c r="D53" s="72"/>
      <c r="E53" s="72"/>
      <c r="F53" s="72"/>
      <c r="G53" s="72"/>
      <c r="H53" s="72"/>
      <c r="I53" s="72"/>
      <c r="J53" s="72"/>
      <c r="K53" s="72"/>
    </row>
    <row r="54" spans="1:11">
      <c r="A54" s="72"/>
      <c r="B54" s="72"/>
      <c r="C54" s="72"/>
      <c r="D54" s="72"/>
      <c r="E54" s="72"/>
      <c r="F54" s="72"/>
      <c r="G54" s="72"/>
      <c r="H54" s="72"/>
      <c r="I54" s="72"/>
      <c r="J54" s="72"/>
      <c r="K54" s="72"/>
    </row>
    <row r="55" spans="1:11">
      <c r="A55" s="72"/>
      <c r="B55" s="72"/>
      <c r="C55" s="72"/>
      <c r="D55" s="72"/>
      <c r="E55" s="72"/>
      <c r="F55" s="72"/>
      <c r="G55" s="72"/>
      <c r="H55" s="72"/>
      <c r="I55" s="72"/>
      <c r="J55" s="72"/>
      <c r="K55" s="72"/>
    </row>
    <row r="56" spans="1:11">
      <c r="A56" s="72"/>
      <c r="B56" s="72"/>
      <c r="C56" s="72"/>
      <c r="D56" s="72"/>
      <c r="E56" s="72"/>
      <c r="F56" s="72"/>
      <c r="G56" s="72"/>
      <c r="H56" s="72"/>
      <c r="I56" s="72"/>
      <c r="J56" s="72"/>
      <c r="K56" s="72"/>
    </row>
    <row r="57" spans="1:11">
      <c r="A57" s="72"/>
      <c r="B57" s="72"/>
      <c r="C57" s="72"/>
      <c r="D57" s="72"/>
      <c r="E57" s="72"/>
      <c r="F57" s="72"/>
      <c r="G57" s="72"/>
      <c r="H57" s="72"/>
      <c r="I57" s="72"/>
      <c r="J57" s="72"/>
      <c r="K57" s="72"/>
    </row>
    <row r="58" spans="1:11">
      <c r="A58" s="72"/>
      <c r="B58" s="72"/>
      <c r="C58" s="72"/>
      <c r="D58" s="72"/>
      <c r="E58" s="72"/>
      <c r="F58" s="72"/>
      <c r="G58" s="72"/>
      <c r="H58" s="72"/>
      <c r="I58" s="72"/>
      <c r="J58" s="72"/>
      <c r="K58" s="72"/>
    </row>
    <row r="59" spans="1:11">
      <c r="A59" s="72"/>
      <c r="B59" s="72"/>
      <c r="C59" s="72"/>
      <c r="D59" s="72"/>
      <c r="E59" s="72"/>
      <c r="F59" s="72"/>
      <c r="G59" s="72"/>
      <c r="H59" s="72"/>
      <c r="I59" s="72"/>
      <c r="J59" s="72"/>
      <c r="K59" s="72"/>
    </row>
    <row r="60" spans="1:11">
      <c r="A60" s="72"/>
      <c r="B60" s="72"/>
      <c r="C60" s="72"/>
      <c r="D60" s="72"/>
      <c r="E60" s="72"/>
      <c r="F60" s="72"/>
      <c r="G60" s="72"/>
      <c r="H60" s="72"/>
      <c r="I60" s="72"/>
      <c r="J60" s="72"/>
      <c r="K60" s="72"/>
    </row>
    <row r="61" spans="1:11">
      <c r="A61" s="72"/>
      <c r="B61" s="72"/>
      <c r="C61" s="72"/>
      <c r="D61" s="72"/>
      <c r="E61" s="72"/>
      <c r="F61" s="72"/>
      <c r="G61" s="72"/>
      <c r="H61" s="72"/>
      <c r="I61" s="72"/>
      <c r="J61" s="72"/>
      <c r="K61" s="72"/>
    </row>
    <row r="62" spans="1:11">
      <c r="A62" s="72"/>
      <c r="B62" s="72"/>
      <c r="C62" s="72"/>
      <c r="D62" s="72"/>
      <c r="E62" s="72"/>
      <c r="F62" s="72"/>
      <c r="G62" s="72"/>
      <c r="H62" s="72"/>
      <c r="I62" s="72"/>
      <c r="J62" s="72"/>
      <c r="K62" s="72"/>
    </row>
    <row r="63" spans="1:11">
      <c r="A63" s="72"/>
      <c r="B63" s="72"/>
      <c r="C63" s="72"/>
      <c r="D63" s="72"/>
      <c r="E63" s="72"/>
      <c r="F63" s="72"/>
      <c r="G63" s="72"/>
      <c r="H63" s="72"/>
      <c r="I63" s="72"/>
      <c r="J63" s="72"/>
      <c r="K63" s="72"/>
    </row>
    <row r="64" spans="1:11">
      <c r="A64" s="72"/>
      <c r="B64" s="72"/>
      <c r="C64" s="72"/>
      <c r="D64" s="72"/>
      <c r="E64" s="72"/>
      <c r="F64" s="72"/>
      <c r="G64" s="72"/>
      <c r="H64" s="72"/>
      <c r="I64" s="72"/>
      <c r="J64" s="72"/>
      <c r="K64" s="72"/>
    </row>
    <row r="65" spans="1:11">
      <c r="A65" s="72"/>
      <c r="B65" s="72"/>
      <c r="C65" s="72"/>
      <c r="D65" s="72"/>
      <c r="E65" s="72"/>
      <c r="F65" s="72"/>
      <c r="G65" s="72"/>
      <c r="H65" s="72"/>
      <c r="I65" s="72"/>
      <c r="J65" s="72"/>
      <c r="K65" s="72"/>
    </row>
    <row r="66" spans="1:11">
      <c r="A66" s="72"/>
      <c r="B66" s="72"/>
      <c r="C66" s="72"/>
      <c r="D66" s="72"/>
      <c r="E66" s="72"/>
      <c r="F66" s="72"/>
      <c r="G66" s="72"/>
      <c r="H66" s="72"/>
      <c r="I66" s="72"/>
      <c r="J66" s="72"/>
      <c r="K66" s="72"/>
    </row>
    <row r="67" spans="1:11">
      <c r="A67" s="72"/>
      <c r="B67" s="72"/>
      <c r="C67" s="72"/>
      <c r="D67" s="72"/>
      <c r="E67" s="72"/>
      <c r="F67" s="72"/>
      <c r="G67" s="72"/>
      <c r="H67" s="72"/>
      <c r="I67" s="72"/>
      <c r="J67" s="72"/>
      <c r="K67" s="72"/>
    </row>
    <row r="68" spans="1:11">
      <c r="A68" s="72"/>
      <c r="B68" s="72"/>
      <c r="C68" s="72"/>
      <c r="D68" s="72"/>
      <c r="E68" s="72"/>
      <c r="F68" s="72"/>
      <c r="G68" s="72"/>
      <c r="H68" s="72"/>
      <c r="I68" s="72"/>
      <c r="J68" s="72"/>
      <c r="K68" s="72"/>
    </row>
    <row r="69" spans="1:11">
      <c r="A69" s="72"/>
      <c r="B69" s="72"/>
      <c r="C69" s="72"/>
      <c r="D69" s="72"/>
      <c r="E69" s="72"/>
      <c r="F69" s="72"/>
      <c r="G69" s="72"/>
      <c r="H69" s="72"/>
      <c r="I69" s="72"/>
      <c r="J69" s="72"/>
      <c r="K69" s="72"/>
    </row>
    <row r="70" spans="1:11">
      <c r="A70" s="72"/>
      <c r="B70" s="72"/>
      <c r="C70" s="72"/>
      <c r="D70" s="72"/>
      <c r="E70" s="72"/>
      <c r="F70" s="72"/>
      <c r="G70" s="72"/>
      <c r="H70" s="72"/>
      <c r="I70" s="72"/>
      <c r="J70" s="72"/>
      <c r="K70" s="72"/>
    </row>
    <row r="71" spans="1:11">
      <c r="A71" s="72"/>
      <c r="B71" s="72"/>
      <c r="C71" s="72"/>
      <c r="D71" s="72"/>
      <c r="E71" s="72"/>
      <c r="F71" s="72"/>
      <c r="G71" s="72"/>
      <c r="H71" s="72"/>
      <c r="I71" s="72"/>
      <c r="J71" s="72"/>
      <c r="K71" s="72"/>
    </row>
    <row r="72" spans="1:11">
      <c r="A72" s="72"/>
      <c r="B72" s="72"/>
      <c r="C72" s="72"/>
      <c r="D72" s="72"/>
      <c r="E72" s="72"/>
      <c r="F72" s="72"/>
      <c r="G72" s="72"/>
      <c r="H72" s="72"/>
      <c r="I72" s="72"/>
      <c r="J72" s="72"/>
      <c r="K72" s="72"/>
    </row>
    <row r="73" spans="1:11">
      <c r="A73" s="72"/>
      <c r="B73" s="72"/>
      <c r="C73" s="72"/>
      <c r="D73" s="72"/>
      <c r="E73" s="72"/>
      <c r="F73" s="72"/>
      <c r="G73" s="72"/>
      <c r="H73" s="72"/>
      <c r="I73" s="72"/>
      <c r="J73" s="72"/>
      <c r="K73" s="72"/>
    </row>
    <row r="74" spans="1:11">
      <c r="A74" s="72"/>
      <c r="B74" s="72"/>
      <c r="C74" s="72"/>
      <c r="D74" s="72"/>
      <c r="E74" s="72"/>
      <c r="F74" s="72"/>
      <c r="G74" s="72"/>
      <c r="H74" s="72"/>
      <c r="I74" s="72"/>
      <c r="J74" s="72"/>
      <c r="K74" s="72"/>
    </row>
    <row r="75" spans="1:11">
      <c r="A75" s="72"/>
      <c r="B75" s="72"/>
      <c r="C75" s="72"/>
      <c r="D75" s="72"/>
      <c r="E75" s="72"/>
      <c r="F75" s="72"/>
      <c r="G75" s="72"/>
      <c r="H75" s="72"/>
      <c r="I75" s="72"/>
      <c r="J75" s="72"/>
      <c r="K75" s="72"/>
    </row>
    <row r="76" spans="1:11">
      <c r="A76" s="72"/>
      <c r="B76" s="72"/>
      <c r="C76" s="72"/>
      <c r="D76" s="72"/>
      <c r="E76" s="72"/>
      <c r="F76" s="72"/>
      <c r="G76" s="72"/>
      <c r="H76" s="72"/>
      <c r="I76" s="72"/>
      <c r="J76" s="72"/>
      <c r="K76" s="72"/>
    </row>
    <row r="77" spans="1:11">
      <c r="A77" s="72"/>
      <c r="B77" s="72"/>
      <c r="C77" s="72"/>
      <c r="D77" s="72"/>
      <c r="E77" s="72"/>
      <c r="F77" s="72"/>
      <c r="G77" s="72"/>
      <c r="H77" s="72"/>
      <c r="I77" s="72"/>
      <c r="J77" s="72"/>
      <c r="K77" s="72"/>
    </row>
    <row r="78" spans="1:11">
      <c r="A78" s="72"/>
      <c r="B78" s="72"/>
      <c r="C78" s="72"/>
      <c r="D78" s="72"/>
      <c r="E78" s="72"/>
      <c r="F78" s="72"/>
      <c r="G78" s="72"/>
      <c r="H78" s="72"/>
      <c r="I78" s="72"/>
      <c r="J78" s="72"/>
      <c r="K78" s="72"/>
    </row>
    <row r="79" spans="1:11">
      <c r="A79" s="72"/>
      <c r="B79" s="72"/>
      <c r="C79" s="72"/>
      <c r="D79" s="72"/>
      <c r="E79" s="72"/>
      <c r="F79" s="72"/>
      <c r="G79" s="72"/>
      <c r="H79" s="72"/>
      <c r="I79" s="72"/>
      <c r="J79" s="72"/>
      <c r="K79" s="72"/>
    </row>
    <row r="80" spans="1:11">
      <c r="A80" s="72"/>
      <c r="B80" s="72"/>
      <c r="C80" s="72"/>
      <c r="D80" s="72"/>
      <c r="E80" s="72"/>
      <c r="F80" s="72"/>
      <c r="G80" s="72"/>
      <c r="H80" s="72"/>
      <c r="I80" s="72"/>
      <c r="J80" s="72"/>
      <c r="K80" s="72"/>
    </row>
    <row r="81" spans="1:11">
      <c r="A81" s="72"/>
      <c r="B81" s="72"/>
      <c r="C81" s="72"/>
      <c r="D81" s="72"/>
      <c r="E81" s="72"/>
      <c r="F81" s="72"/>
      <c r="G81" s="72"/>
      <c r="H81" s="72"/>
      <c r="I81" s="72"/>
      <c r="J81" s="72"/>
      <c r="K81" s="72"/>
    </row>
    <row r="82" spans="1:11">
      <c r="A82" s="72"/>
      <c r="B82" s="72"/>
      <c r="C82" s="72"/>
      <c r="D82" s="72"/>
      <c r="E82" s="72"/>
      <c r="F82" s="72"/>
      <c r="G82" s="72"/>
      <c r="H82" s="72"/>
      <c r="I82" s="72"/>
      <c r="J82" s="72"/>
      <c r="K82" s="72"/>
    </row>
    <row r="83" spans="1:11">
      <c r="A83" s="72"/>
      <c r="B83" s="72"/>
      <c r="C83" s="72"/>
      <c r="D83" s="72"/>
      <c r="E83" s="72"/>
      <c r="F83" s="72"/>
      <c r="G83" s="72"/>
      <c r="H83" s="72"/>
      <c r="I83" s="72"/>
      <c r="J83" s="72"/>
      <c r="K83" s="72"/>
    </row>
    <row r="84" spans="1:11">
      <c r="A84" s="72"/>
      <c r="B84" s="72"/>
      <c r="C84" s="72"/>
      <c r="D84" s="72"/>
      <c r="E84" s="72"/>
      <c r="F84" s="72"/>
      <c r="G84" s="72"/>
      <c r="H84" s="72"/>
      <c r="I84" s="72"/>
      <c r="J84" s="72"/>
      <c r="K84" s="72"/>
    </row>
    <row r="85" spans="1:11">
      <c r="A85" s="72"/>
      <c r="B85" s="72"/>
      <c r="C85" s="72"/>
      <c r="D85" s="72"/>
      <c r="E85" s="72"/>
      <c r="F85" s="72"/>
      <c r="G85" s="72"/>
      <c r="H85" s="72"/>
      <c r="I85" s="72"/>
      <c r="J85" s="72"/>
      <c r="K85" s="72"/>
    </row>
    <row r="86" spans="1:11">
      <c r="A86" s="72"/>
      <c r="B86" s="72"/>
      <c r="C86" s="72"/>
      <c r="D86" s="72"/>
      <c r="E86" s="72"/>
      <c r="F86" s="72"/>
      <c r="G86" s="72"/>
      <c r="H86" s="72"/>
      <c r="I86" s="72"/>
      <c r="J86" s="72"/>
      <c r="K86" s="72"/>
    </row>
    <row r="87" spans="1:11">
      <c r="A87" s="72"/>
      <c r="B87" s="72"/>
      <c r="C87" s="72"/>
      <c r="D87" s="72"/>
      <c r="E87" s="72"/>
      <c r="F87" s="72"/>
      <c r="G87" s="72"/>
      <c r="H87" s="72"/>
      <c r="I87" s="72"/>
      <c r="J87" s="72"/>
      <c r="K87" s="72"/>
    </row>
    <row r="88" spans="1:11">
      <c r="A88" s="72"/>
      <c r="B88" s="72"/>
      <c r="C88" s="72"/>
      <c r="D88" s="72"/>
      <c r="E88" s="72"/>
      <c r="F88" s="72"/>
      <c r="G88" s="72"/>
      <c r="H88" s="72"/>
      <c r="I88" s="72"/>
      <c r="J88" s="72"/>
      <c r="K88" s="72"/>
    </row>
    <row r="89" spans="1:11">
      <c r="A89" s="72"/>
      <c r="B89" s="72"/>
      <c r="C89" s="72"/>
      <c r="D89" s="72"/>
      <c r="E89" s="72"/>
      <c r="F89" s="72"/>
      <c r="G89" s="72"/>
      <c r="H89" s="72"/>
      <c r="I89" s="72"/>
      <c r="J89" s="72"/>
      <c r="K89" s="72"/>
    </row>
    <row r="90" spans="1:11">
      <c r="A90" s="72"/>
      <c r="B90" s="72"/>
      <c r="C90" s="72"/>
      <c r="D90" s="72"/>
      <c r="E90" s="72"/>
      <c r="F90" s="72"/>
      <c r="G90" s="72"/>
      <c r="H90" s="72"/>
      <c r="I90" s="72"/>
      <c r="J90" s="72"/>
      <c r="K90" s="72"/>
    </row>
    <row r="91" spans="1:11">
      <c r="A91" s="72"/>
      <c r="B91" s="72"/>
      <c r="C91" s="72"/>
      <c r="D91" s="72"/>
      <c r="E91" s="72"/>
      <c r="F91" s="72"/>
      <c r="G91" s="72"/>
      <c r="H91" s="72"/>
      <c r="I91" s="72"/>
      <c r="J91" s="72"/>
      <c r="K91" s="72"/>
    </row>
    <row r="92" spans="1:11">
      <c r="A92" s="72"/>
      <c r="B92" s="72"/>
      <c r="C92" s="72"/>
      <c r="D92" s="72"/>
      <c r="E92" s="72"/>
      <c r="F92" s="72"/>
      <c r="G92" s="72"/>
      <c r="H92" s="72"/>
      <c r="I92" s="72"/>
      <c r="J92" s="72"/>
      <c r="K92" s="72"/>
    </row>
    <row r="93" spans="1:11">
      <c r="A93" s="72"/>
      <c r="B93" s="72"/>
      <c r="C93" s="72"/>
      <c r="D93" s="72"/>
      <c r="E93" s="72"/>
      <c r="F93" s="72"/>
      <c r="G93" s="72"/>
      <c r="H93" s="72"/>
      <c r="I93" s="72"/>
      <c r="J93" s="72"/>
      <c r="K93" s="72"/>
    </row>
    <row r="94" spans="1:11">
      <c r="A94" s="72"/>
      <c r="B94" s="72"/>
      <c r="C94" s="72"/>
      <c r="D94" s="72"/>
      <c r="E94" s="72"/>
      <c r="F94" s="72"/>
      <c r="G94" s="72"/>
      <c r="H94" s="72"/>
      <c r="I94" s="72"/>
      <c r="J94" s="72"/>
      <c r="K94" s="72"/>
    </row>
    <row r="95" spans="1:11">
      <c r="A95" s="72"/>
      <c r="B95" s="72"/>
      <c r="C95" s="72"/>
      <c r="D95" s="72"/>
      <c r="E95" s="72"/>
      <c r="F95" s="72"/>
      <c r="G95" s="72"/>
      <c r="H95" s="72"/>
      <c r="I95" s="72"/>
      <c r="J95" s="72"/>
      <c r="K95" s="72"/>
    </row>
    <row r="96" spans="1:11">
      <c r="A96" s="72"/>
      <c r="B96" s="72"/>
      <c r="C96" s="72"/>
      <c r="D96" s="72"/>
      <c r="E96" s="72"/>
      <c r="F96" s="72"/>
      <c r="G96" s="72"/>
      <c r="H96" s="72"/>
      <c r="I96" s="72"/>
      <c r="J96" s="72"/>
      <c r="K96" s="72"/>
    </row>
    <row r="97" s="72" customFormat="1"/>
    <row r="98" s="72" customFormat="1"/>
    <row r="99" s="72" customFormat="1"/>
    <row r="100" s="72" customFormat="1"/>
    <row r="101" s="72" customFormat="1"/>
    <row r="102" s="72" customFormat="1"/>
    <row r="103" s="72" customFormat="1"/>
    <row r="104" s="72" customFormat="1"/>
    <row r="105" s="72" customFormat="1"/>
    <row r="106" s="72" customFormat="1"/>
    <row r="107" s="72" customFormat="1"/>
    <row r="108" s="72" customFormat="1"/>
    <row r="109" s="72" customFormat="1"/>
    <row r="110" s="72" customFormat="1"/>
    <row r="111" s="72" customFormat="1"/>
    <row r="112" s="72" customFormat="1"/>
    <row r="113" s="72" customFormat="1"/>
    <row r="114" s="72" customFormat="1"/>
    <row r="115" s="72" customFormat="1"/>
    <row r="116" s="72" customFormat="1"/>
    <row r="117" s="72" customFormat="1"/>
    <row r="118" s="72" customFormat="1"/>
    <row r="119" s="72" customFormat="1"/>
    <row r="120" s="72" customFormat="1"/>
    <row r="121" s="72" customFormat="1"/>
    <row r="122" s="72" customFormat="1"/>
    <row r="123" s="72" customFormat="1"/>
    <row r="124" s="72" customFormat="1"/>
    <row r="125" s="72" customFormat="1"/>
    <row r="126" s="72" customFormat="1"/>
    <row r="127" s="72" customFormat="1"/>
    <row r="128" s="72" customFormat="1"/>
    <row r="129" s="72" customFormat="1"/>
    <row r="130" s="72" customFormat="1"/>
    <row r="131" s="72" customFormat="1"/>
    <row r="132" s="72" customFormat="1"/>
    <row r="133" s="72" customFormat="1"/>
    <row r="134" s="72" customFormat="1"/>
    <row r="135" s="72" customFormat="1"/>
    <row r="136" s="72" customFormat="1"/>
    <row r="137" s="72" customFormat="1"/>
    <row r="138" s="72" customFormat="1"/>
    <row r="139" s="72" customFormat="1"/>
    <row r="140" s="72" customFormat="1"/>
    <row r="141" s="72" customFormat="1"/>
    <row r="142" s="72" customFormat="1"/>
    <row r="143" s="72" customFormat="1"/>
    <row r="144" s="72" customFormat="1"/>
    <row r="145" s="72" customFormat="1"/>
    <row r="146" s="72" customFormat="1"/>
    <row r="147" s="72" customFormat="1"/>
    <row r="148" s="72" customFormat="1"/>
    <row r="149" s="72" customFormat="1"/>
    <row r="150" s="72" customFormat="1"/>
    <row r="151" s="72" customFormat="1"/>
    <row r="152" s="72" customFormat="1"/>
    <row r="153" s="72" customFormat="1"/>
    <row r="154" s="72" customFormat="1"/>
    <row r="155" s="72" customFormat="1"/>
    <row r="156" s="72" customFormat="1"/>
    <row r="157" s="72" customFormat="1"/>
    <row r="158" s="72" customFormat="1"/>
    <row r="159" s="72" customFormat="1"/>
    <row r="160" s="72" customFormat="1"/>
    <row r="161" s="72" customFormat="1"/>
    <row r="162" s="72" customFormat="1"/>
    <row r="163" s="72" customFormat="1"/>
    <row r="164" s="72" customFormat="1"/>
    <row r="165" s="72" customFormat="1"/>
    <row r="166" s="72" customFormat="1"/>
    <row r="167" s="72" customFormat="1"/>
    <row r="168" s="72" customFormat="1"/>
    <row r="169" s="72" customFormat="1"/>
    <row r="170" s="72" customFormat="1"/>
    <row r="171" s="72" customFormat="1"/>
    <row r="172" s="72" customFormat="1"/>
    <row r="173" s="72" customFormat="1"/>
    <row r="174" s="72" customFormat="1"/>
    <row r="175" s="72" customFormat="1"/>
    <row r="176" s="72" customFormat="1"/>
    <row r="177" s="72" customFormat="1"/>
    <row r="178" s="72" customFormat="1"/>
    <row r="179" s="72" customFormat="1"/>
    <row r="180" s="72" customFormat="1"/>
    <row r="181" s="72" customFormat="1"/>
    <row r="182" s="72" customFormat="1"/>
    <row r="183" s="72" customFormat="1"/>
    <row r="184" s="72" customFormat="1"/>
    <row r="185" s="72" customFormat="1"/>
    <row r="186" s="72" customFormat="1"/>
    <row r="187" s="72" customFormat="1"/>
    <row r="188" s="72" customFormat="1"/>
    <row r="189" s="72" customFormat="1"/>
    <row r="190" s="72" customFormat="1"/>
    <row r="191" s="72" customFormat="1"/>
    <row r="192" s="72" customFormat="1"/>
    <row r="193" s="72" customFormat="1"/>
    <row r="194" s="72" customFormat="1"/>
    <row r="195" s="72" customFormat="1"/>
    <row r="196" s="72" customFormat="1"/>
    <row r="197" s="72" customFormat="1"/>
    <row r="198" s="72" customFormat="1"/>
    <row r="199" s="72" customFormat="1"/>
    <row r="200" s="72" customFormat="1"/>
    <row r="201" s="72" customFormat="1"/>
    <row r="202" s="72" customFormat="1"/>
    <row r="203" s="72" customFormat="1"/>
    <row r="204" s="72" customFormat="1"/>
    <row r="205" s="72" customFormat="1"/>
    <row r="206" s="72" customFormat="1"/>
    <row r="207" s="72" customFormat="1"/>
    <row r="208" s="72" customFormat="1"/>
    <row r="209" s="72" customFormat="1"/>
    <row r="210" s="72" customFormat="1"/>
    <row r="211" s="72" customFormat="1"/>
    <row r="212" s="72" customFormat="1"/>
    <row r="213" s="72" customFormat="1"/>
    <row r="214" s="72" customFormat="1"/>
    <row r="215" s="72" customFormat="1"/>
    <row r="216" s="72" customFormat="1"/>
    <row r="217" s="72" customFormat="1"/>
    <row r="218" s="72" customFormat="1"/>
    <row r="219" s="72" customFormat="1"/>
    <row r="220" s="72" customFormat="1"/>
    <row r="221" s="72" customFormat="1"/>
    <row r="222" s="72" customFormat="1"/>
    <row r="223" s="72" customFormat="1"/>
    <row r="224" s="72" customFormat="1"/>
    <row r="225" s="72" customFormat="1"/>
    <row r="226" s="72" customFormat="1"/>
    <row r="227" s="72" customFormat="1"/>
    <row r="228" s="72" customFormat="1"/>
    <row r="229" s="72" customFormat="1"/>
    <row r="230" s="72" customFormat="1"/>
    <row r="231" s="72" customFormat="1"/>
    <row r="232" s="72" customFormat="1"/>
    <row r="233" s="72" customFormat="1"/>
    <row r="234" s="72" customFormat="1"/>
    <row r="235" s="72" customFormat="1"/>
    <row r="236" s="72" customFormat="1"/>
    <row r="237" s="72" customFormat="1"/>
    <row r="238" s="72" customFormat="1"/>
    <row r="239" s="72" customFormat="1"/>
    <row r="240" s="72" customFormat="1"/>
    <row r="241" s="72" customFormat="1"/>
    <row r="242" s="72" customFormat="1"/>
    <row r="243" s="72" customFormat="1"/>
    <row r="244" s="72" customFormat="1"/>
    <row r="245" s="72" customFormat="1"/>
    <row r="246" s="72" customFormat="1"/>
    <row r="247" s="72" customFormat="1"/>
    <row r="248" s="72" customFormat="1"/>
    <row r="249" s="72" customFormat="1"/>
    <row r="250" s="72" customFormat="1"/>
    <row r="251" s="72" customFormat="1"/>
    <row r="252" s="72" customFormat="1"/>
    <row r="253" s="72" customFormat="1"/>
    <row r="254" s="72" customFormat="1"/>
    <row r="255" s="72" customFormat="1"/>
    <row r="256" s="72" customFormat="1"/>
    <row r="257" s="72" customFormat="1"/>
    <row r="258" s="72" customFormat="1"/>
    <row r="259" s="72" customFormat="1"/>
    <row r="260" s="72" customFormat="1"/>
    <row r="261" s="72" customFormat="1"/>
    <row r="262" s="72" customFormat="1"/>
    <row r="263" s="72" customFormat="1"/>
    <row r="264" s="72" customFormat="1"/>
    <row r="265" s="72" customFormat="1"/>
    <row r="266" s="72" customFormat="1"/>
    <row r="267" s="72" customFormat="1"/>
    <row r="268" s="72" customFormat="1"/>
    <row r="269" s="72" customFormat="1"/>
    <row r="270" s="72" customFormat="1"/>
    <row r="271" s="72" customFormat="1"/>
    <row r="272" s="72" customFormat="1"/>
    <row r="273" s="72" customFormat="1"/>
    <row r="274" s="72" customFormat="1"/>
    <row r="275" s="72" customFormat="1"/>
    <row r="276" s="72" customFormat="1"/>
    <row r="277" s="72" customFormat="1"/>
    <row r="278" s="72" customFormat="1"/>
    <row r="279" s="72" customFormat="1"/>
    <row r="280" s="72" customFormat="1"/>
    <row r="281" s="72" customFormat="1"/>
    <row r="282" s="72" customFormat="1"/>
    <row r="283" s="72" customFormat="1"/>
    <row r="284" s="72" customFormat="1"/>
    <row r="285" s="72" customFormat="1"/>
    <row r="286" s="72" customFormat="1"/>
    <row r="287" s="72" customFormat="1"/>
    <row r="288" s="72" customFormat="1"/>
    <row r="289" s="72" customFormat="1"/>
    <row r="290" s="72" customFormat="1"/>
    <row r="291" s="72" customFormat="1"/>
    <row r="292" s="72" customFormat="1"/>
    <row r="293" s="72" customFormat="1"/>
    <row r="294" s="72" customFormat="1"/>
    <row r="295" s="72" customFormat="1"/>
    <row r="296" s="72" customFormat="1"/>
    <row r="297" s="72" customFormat="1"/>
    <row r="298" s="72" customFormat="1"/>
    <row r="299" s="72" customFormat="1"/>
    <row r="300" s="72" customFormat="1"/>
    <row r="301" s="72" customFormat="1"/>
    <row r="302" s="72" customFormat="1"/>
    <row r="303" s="72" customFormat="1"/>
    <row r="304" s="72" customFormat="1"/>
    <row r="305" s="72" customFormat="1"/>
    <row r="306" s="72" customFormat="1"/>
    <row r="307" s="72" customFormat="1"/>
    <row r="308" s="72" customFormat="1"/>
    <row r="309" s="72" customFormat="1"/>
    <row r="310" s="72" customFormat="1"/>
    <row r="311" s="72" customFormat="1"/>
    <row r="312" s="72" customFormat="1"/>
    <row r="313" s="72" customFormat="1"/>
    <row r="314" s="72" customFormat="1"/>
    <row r="315" s="72" customFormat="1"/>
    <row r="316" s="72" customFormat="1"/>
    <row r="317" s="72" customFormat="1"/>
    <row r="318" s="72" customFormat="1"/>
    <row r="319" s="72" customFormat="1"/>
    <row r="320" s="72" customFormat="1"/>
    <row r="321" s="72" customFormat="1"/>
    <row r="322" s="72" customFormat="1"/>
    <row r="323" s="72" customFormat="1"/>
    <row r="324" s="72" customFormat="1"/>
    <row r="325" s="72" customFormat="1"/>
    <row r="326" s="72" customFormat="1"/>
    <row r="327" s="72" customFormat="1"/>
    <row r="328" s="72" customFormat="1"/>
    <row r="329" s="72" customFormat="1"/>
    <row r="330" s="72" customFormat="1"/>
    <row r="331" s="72" customFormat="1"/>
    <row r="332" s="72" customFormat="1"/>
    <row r="333" s="72" customFormat="1"/>
    <row r="334" s="72" customFormat="1"/>
    <row r="335" s="72" customFormat="1"/>
    <row r="336" s="72" customFormat="1"/>
    <row r="337" s="72" customFormat="1"/>
    <row r="338" s="72" customFormat="1"/>
    <row r="339" s="72" customFormat="1"/>
    <row r="340" s="72" customFormat="1"/>
    <row r="341" s="72" customFormat="1"/>
    <row r="342" s="72" customFormat="1"/>
    <row r="343" s="72" customFormat="1"/>
    <row r="344" s="72" customFormat="1"/>
    <row r="345" s="72" customFormat="1"/>
    <row r="346" s="72" customFormat="1"/>
    <row r="347" s="72" customFormat="1"/>
    <row r="348" s="72" customFormat="1"/>
    <row r="349" s="72" customFormat="1"/>
    <row r="350" s="72" customFormat="1"/>
    <row r="351" s="72" customFormat="1"/>
    <row r="352" s="72" customFormat="1"/>
    <row r="353" s="72" customFormat="1"/>
    <row r="354" s="72" customFormat="1"/>
    <row r="355" s="72" customFormat="1"/>
    <row r="356" s="72" customFormat="1"/>
    <row r="357" s="72" customFormat="1"/>
    <row r="358" s="72" customFormat="1"/>
    <row r="359" s="72" customFormat="1"/>
    <row r="360" s="72" customFormat="1"/>
    <row r="361" s="72" customFormat="1"/>
    <row r="362" s="72" customFormat="1"/>
    <row r="363" s="72" customFormat="1"/>
    <row r="364" s="72" customFormat="1"/>
    <row r="365" s="72" customFormat="1"/>
    <row r="366" s="72" customFormat="1"/>
    <row r="367" s="72" customFormat="1"/>
    <row r="368" s="72" customFormat="1"/>
    <row r="369" s="72" customFormat="1"/>
    <row r="370" s="72" customFormat="1"/>
    <row r="371" s="72" customFormat="1"/>
    <row r="372" s="72" customFormat="1"/>
    <row r="373" s="72" customFormat="1"/>
    <row r="374" s="72" customFormat="1"/>
    <row r="375" s="72" customFormat="1"/>
    <row r="376" s="72" customFormat="1"/>
    <row r="377" s="72" customFormat="1"/>
    <row r="378" s="72" customFormat="1"/>
    <row r="379" s="72" customFormat="1"/>
    <row r="380" s="72" customFormat="1"/>
    <row r="381" s="72" customFormat="1"/>
    <row r="382" s="72" customFormat="1"/>
    <row r="383" s="72" customFormat="1"/>
    <row r="384" s="72" customFormat="1"/>
    <row r="385" s="72" customFormat="1"/>
    <row r="386" s="72" customFormat="1"/>
    <row r="387" s="72" customFormat="1"/>
    <row r="388" s="72" customFormat="1"/>
    <row r="389" s="72" customFormat="1"/>
    <row r="390" s="72" customFormat="1"/>
    <row r="391" s="72" customFormat="1"/>
    <row r="392" s="72" customFormat="1"/>
    <row r="393" s="72" customFormat="1"/>
    <row r="394" s="72" customFormat="1"/>
    <row r="395" s="72" customFormat="1"/>
    <row r="396" s="72" customFormat="1"/>
    <row r="397" s="72" customFormat="1"/>
    <row r="398" s="72" customFormat="1"/>
    <row r="399" s="72" customFormat="1"/>
    <row r="400" s="72" customFormat="1"/>
    <row r="401" s="72" customFormat="1"/>
    <row r="402" s="72" customFormat="1"/>
    <row r="403" s="72" customFormat="1"/>
    <row r="404" s="72" customFormat="1"/>
    <row r="405" s="72" customFormat="1"/>
    <row r="406" s="72" customFormat="1"/>
    <row r="407" s="72" customFormat="1"/>
    <row r="408" s="72" customFormat="1"/>
    <row r="409" s="72" customFormat="1"/>
    <row r="410" s="72" customFormat="1"/>
    <row r="411" s="72" customFormat="1"/>
    <row r="412" s="72" customFormat="1"/>
    <row r="413" s="72" customFormat="1"/>
    <row r="414" s="72" customFormat="1"/>
    <row r="415" s="72" customFormat="1"/>
    <row r="416" s="72" customFormat="1"/>
    <row r="417" s="72" customFormat="1"/>
    <row r="418" s="72" customFormat="1"/>
    <row r="419" s="72" customFormat="1"/>
    <row r="420" s="72" customFormat="1"/>
    <row r="421" s="72" customFormat="1"/>
    <row r="422" s="72" customFormat="1"/>
    <row r="423" s="72" customFormat="1"/>
    <row r="424" s="72" customFormat="1"/>
    <row r="425" s="72" customFormat="1"/>
    <row r="426" s="72" customFormat="1"/>
    <row r="427" s="72" customFormat="1"/>
    <row r="428" s="72" customFormat="1"/>
    <row r="429" s="72" customFormat="1"/>
    <row r="430" s="72" customFormat="1"/>
    <row r="431" s="72" customFormat="1"/>
    <row r="432" s="72" customFormat="1"/>
    <row r="433" s="72" customFormat="1"/>
    <row r="434" s="72" customFormat="1"/>
    <row r="435" s="72" customFormat="1"/>
    <row r="436" s="72" customFormat="1"/>
    <row r="437" s="72" customFormat="1"/>
    <row r="438" s="72" customFormat="1"/>
    <row r="439" s="72" customFormat="1"/>
    <row r="440" s="72" customFormat="1"/>
    <row r="441" s="72" customFormat="1"/>
    <row r="442" s="72" customFormat="1"/>
    <row r="443" s="72" customFormat="1"/>
    <row r="444" s="72" customFormat="1"/>
    <row r="445" s="72" customFormat="1"/>
    <row r="446" s="72" customFormat="1"/>
    <row r="447" s="72" customFormat="1"/>
    <row r="448" s="72" customFormat="1"/>
    <row r="449" s="72" customFormat="1"/>
    <row r="450" s="72" customFormat="1"/>
    <row r="451" s="72" customFormat="1"/>
    <row r="452" s="72" customFormat="1"/>
    <row r="453" s="72" customFormat="1"/>
    <row r="454" s="72" customFormat="1"/>
    <row r="455" s="72" customFormat="1"/>
    <row r="456" s="72" customFormat="1"/>
    <row r="457" s="72" customFormat="1"/>
    <row r="458" s="72" customFormat="1"/>
    <row r="459" s="72" customFormat="1"/>
    <row r="460" s="72" customFormat="1"/>
    <row r="461" s="72" customFormat="1"/>
    <row r="462" s="72" customFormat="1"/>
    <row r="463" s="72" customFormat="1"/>
    <row r="464" s="72" customFormat="1"/>
    <row r="465" s="72" customFormat="1"/>
    <row r="466" s="72" customFormat="1"/>
    <row r="467" s="72" customFormat="1"/>
    <row r="468" s="72" customFormat="1"/>
    <row r="469" s="72" customFormat="1"/>
    <row r="470" s="72" customFormat="1"/>
    <row r="471" s="72" customFormat="1"/>
    <row r="472" s="72" customFormat="1"/>
    <row r="473" s="72" customFormat="1"/>
    <row r="474" s="72" customFormat="1"/>
    <row r="475" s="72" customFormat="1"/>
    <row r="476" s="72" customFormat="1"/>
    <row r="477" s="72" customFormat="1"/>
    <row r="478" s="72" customFormat="1"/>
    <row r="479" s="72" customFormat="1"/>
    <row r="480" s="72" customFormat="1"/>
    <row r="481" s="72" customFormat="1"/>
    <row r="482" s="72" customFormat="1"/>
    <row r="483" s="72" customFormat="1"/>
    <row r="484" s="72" customFormat="1"/>
    <row r="485" s="72" customFormat="1"/>
    <row r="486" s="72" customFormat="1"/>
    <row r="487" s="72" customFormat="1"/>
    <row r="488" s="72" customFormat="1"/>
    <row r="489" s="72" customFormat="1"/>
    <row r="490" s="72" customFormat="1"/>
    <row r="491" s="72" customFormat="1"/>
    <row r="492" s="72" customFormat="1"/>
    <row r="493" s="72" customFormat="1"/>
    <row r="494" s="72" customFormat="1"/>
    <row r="495" s="72" customFormat="1"/>
    <row r="496" s="72" customFormat="1"/>
    <row r="497" s="72" customFormat="1"/>
    <row r="498" s="72" customFormat="1"/>
    <row r="499" s="72" customFormat="1"/>
    <row r="500" s="72" customFormat="1"/>
    <row r="501" s="72" customFormat="1"/>
    <row r="502" s="72" customFormat="1"/>
    <row r="503" s="72" customFormat="1"/>
    <row r="504" s="72" customFormat="1"/>
    <row r="505" s="72" customFormat="1"/>
    <row r="506" s="72" customFormat="1"/>
    <row r="507" s="72" customFormat="1"/>
    <row r="508" s="72" customFormat="1"/>
    <row r="509" s="72" customFormat="1"/>
    <row r="510" s="72" customFormat="1"/>
    <row r="511" s="72" customFormat="1"/>
    <row r="512" s="72" customFormat="1"/>
    <row r="513" s="72" customFormat="1"/>
    <row r="514" s="72" customFormat="1"/>
    <row r="515" s="72" customFormat="1"/>
    <row r="516" s="72" customFormat="1"/>
    <row r="517" s="72" customFormat="1"/>
    <row r="518" s="72" customFormat="1"/>
    <row r="519" s="72" customFormat="1"/>
    <row r="520" s="72" customFormat="1"/>
    <row r="521" s="72" customFormat="1"/>
    <row r="522" s="72" customFormat="1"/>
    <row r="523" s="72" customFormat="1"/>
    <row r="524" s="72" customFormat="1"/>
    <row r="525" s="72" customFormat="1"/>
    <row r="526" s="72" customFormat="1"/>
    <row r="527" s="72" customFormat="1"/>
    <row r="528" s="72" customFormat="1"/>
    <row r="529" s="72" customFormat="1"/>
    <row r="530" s="72" customFormat="1"/>
    <row r="531" s="72" customFormat="1"/>
    <row r="532" s="72" customFormat="1"/>
    <row r="533" s="72" customFormat="1"/>
    <row r="534" s="72" customFormat="1"/>
    <row r="535" s="72" customFormat="1"/>
    <row r="536" s="72" customFormat="1"/>
    <row r="537" s="72" customFormat="1"/>
    <row r="538" s="72" customFormat="1"/>
    <row r="539" s="72" customFormat="1"/>
    <row r="540" s="72" customFormat="1"/>
    <row r="541" s="72" customFormat="1"/>
    <row r="542" s="72" customFormat="1"/>
    <row r="543" s="72" customFormat="1"/>
    <row r="544" s="72" customFormat="1"/>
    <row r="545" s="72" customFormat="1"/>
    <row r="546" s="72" customFormat="1"/>
    <row r="547" s="72" customFormat="1"/>
    <row r="548" s="72" customFormat="1"/>
    <row r="549" s="72" customFormat="1"/>
    <row r="550" s="72" customFormat="1"/>
    <row r="551" s="72" customFormat="1"/>
    <row r="552" s="72" customFormat="1"/>
    <row r="553" s="72" customFormat="1"/>
    <row r="554" s="72" customFormat="1"/>
    <row r="555" s="72" customFormat="1"/>
    <row r="556" s="72" customFormat="1"/>
    <row r="557" s="72" customFormat="1"/>
    <row r="558" s="72" customFormat="1"/>
    <row r="559" s="72" customFormat="1"/>
    <row r="560" s="72" customFormat="1"/>
    <row r="561" s="72" customFormat="1"/>
    <row r="562" s="72" customFormat="1"/>
    <row r="563" s="72" customFormat="1"/>
    <row r="564" s="72" customFormat="1"/>
    <row r="565" s="72" customFormat="1"/>
    <row r="566" s="72" customFormat="1"/>
    <row r="567" s="72" customFormat="1"/>
    <row r="568" s="72" customFormat="1"/>
    <row r="569" s="72" customFormat="1"/>
    <row r="570" s="72" customFormat="1"/>
    <row r="571" s="72" customFormat="1"/>
    <row r="572" s="72" customFormat="1"/>
    <row r="573" s="72" customFormat="1"/>
    <row r="574" s="72" customFormat="1"/>
    <row r="575" s="72" customFormat="1"/>
    <row r="576" s="72" customFormat="1"/>
    <row r="577" s="72" customFormat="1"/>
    <row r="578" s="72" customFormat="1"/>
    <row r="579" s="72" customFormat="1"/>
    <row r="580" s="72" customFormat="1"/>
    <row r="581" s="72" customFormat="1"/>
    <row r="582" s="72" customFormat="1"/>
    <row r="583" s="72" customFormat="1"/>
    <row r="584" s="72" customFormat="1"/>
    <row r="585" s="72" customFormat="1"/>
    <row r="586" s="72" customFormat="1"/>
    <row r="587" s="72" customFormat="1"/>
    <row r="588" s="72" customFormat="1"/>
    <row r="589" s="72" customFormat="1"/>
    <row r="590" s="72" customFormat="1"/>
    <row r="591" s="72" customFormat="1"/>
    <row r="592" s="72" customFormat="1"/>
    <row r="593" s="72" customFormat="1"/>
    <row r="594" s="72" customFormat="1"/>
    <row r="595" s="72" customFormat="1"/>
    <row r="596" s="72" customFormat="1"/>
    <row r="597" s="72" customFormat="1"/>
    <row r="598" s="72" customFormat="1"/>
    <row r="599" s="72" customFormat="1"/>
    <row r="600" s="72" customFormat="1"/>
    <row r="601" s="72" customFormat="1"/>
    <row r="602" s="72" customFormat="1"/>
    <row r="603" s="72" customFormat="1"/>
    <row r="604" s="72" customFormat="1"/>
    <row r="605" s="72" customFormat="1"/>
    <row r="606" s="72" customFormat="1"/>
    <row r="607" s="72" customFormat="1"/>
    <row r="608" s="72" customFormat="1"/>
    <row r="609" s="72" customFormat="1"/>
    <row r="610" s="72" customFormat="1"/>
    <row r="611" s="72" customFormat="1"/>
    <row r="612" s="72" customFormat="1"/>
    <row r="613" s="72" customFormat="1"/>
    <row r="614" s="72" customFormat="1"/>
    <row r="615" s="72" customFormat="1"/>
    <row r="616" s="72" customFormat="1"/>
    <row r="617" s="72" customFormat="1"/>
    <row r="618" s="72" customFormat="1"/>
    <row r="619" s="72" customFormat="1"/>
    <row r="620" s="72" customFormat="1"/>
    <row r="621" s="72" customFormat="1"/>
    <row r="622" s="72" customFormat="1"/>
    <row r="623" s="72" customFormat="1"/>
    <row r="624" s="72" customFormat="1"/>
    <row r="625" s="72" customFormat="1"/>
    <row r="626" s="72" customFormat="1"/>
    <row r="627" s="72" customFormat="1"/>
    <row r="628" s="72" customFormat="1"/>
    <row r="629" s="72" customFormat="1"/>
    <row r="630" s="72" customFormat="1"/>
    <row r="631" s="72" customFormat="1"/>
    <row r="632" s="72" customFormat="1"/>
    <row r="633" s="72" customFormat="1"/>
    <row r="634" s="72" customFormat="1"/>
    <row r="635" s="72" customFormat="1"/>
  </sheetData>
  <sheetProtection algorithmName="SHA-512" hashValue="SAj9erHdTkgped9urDIZIe/U6yLKqtWCXC4Uyj/RpngeeYu6bj59RxDTkM7+/VKvONpZunQY3QuEr+bd3cqCAw==" saltValue="QqOgJvimQOPBGezIVcIw2g==" spinCount="100000" sheet="1" objects="1" scenarios="1"/>
  <mergeCells count="132">
    <mergeCell ref="E6:G6"/>
    <mergeCell ref="B2:C2"/>
    <mergeCell ref="B3:C3"/>
    <mergeCell ref="B33:C33"/>
    <mergeCell ref="H38:K38"/>
    <mergeCell ref="H36:K36"/>
    <mergeCell ref="D44:G44"/>
    <mergeCell ref="B37:C37"/>
    <mergeCell ref="B38:C38"/>
    <mergeCell ref="D34:G34"/>
    <mergeCell ref="D35:G35"/>
    <mergeCell ref="D36:G36"/>
    <mergeCell ref="D37:G37"/>
    <mergeCell ref="D38:G38"/>
    <mergeCell ref="D40:G40"/>
    <mergeCell ref="D41:G41"/>
    <mergeCell ref="D42:G42"/>
    <mergeCell ref="D43:G43"/>
    <mergeCell ref="A39:K39"/>
    <mergeCell ref="B34:C34"/>
    <mergeCell ref="B35:C35"/>
    <mergeCell ref="H37:K37"/>
    <mergeCell ref="A14:A16"/>
    <mergeCell ref="B7:C7"/>
    <mergeCell ref="I7:K7"/>
    <mergeCell ref="I8:K8"/>
    <mergeCell ref="I11:K11"/>
    <mergeCell ref="B9:C9"/>
    <mergeCell ref="B11:C11"/>
    <mergeCell ref="J16:K16"/>
    <mergeCell ref="B12:C12"/>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B43:C43"/>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21:E21"/>
    <mergeCell ref="J14:K14"/>
    <mergeCell ref="H16:I16"/>
    <mergeCell ref="B19:C19"/>
    <mergeCell ref="E1:G1"/>
    <mergeCell ref="E2:G2"/>
    <mergeCell ref="B23:C23"/>
    <mergeCell ref="B21:C21"/>
    <mergeCell ref="D20:E20"/>
    <mergeCell ref="A22:K22"/>
    <mergeCell ref="E7:G7"/>
    <mergeCell ref="E8:G8"/>
    <mergeCell ref="E9:G9"/>
    <mergeCell ref="E11:G11"/>
    <mergeCell ref="E12:G12"/>
    <mergeCell ref="D23:G23"/>
    <mergeCell ref="D19:E19"/>
    <mergeCell ref="D17:E17"/>
    <mergeCell ref="D14:E15"/>
    <mergeCell ref="F14:G14"/>
    <mergeCell ref="F16:G16"/>
    <mergeCell ref="I9:K9"/>
    <mergeCell ref="I10:K10"/>
    <mergeCell ref="B10:C10"/>
    <mergeCell ref="E10:G10"/>
    <mergeCell ref="B18:C18"/>
    <mergeCell ref="H14:I14"/>
    <mergeCell ref="B8:C8"/>
    <mergeCell ref="I12:K12"/>
    <mergeCell ref="A13:K13"/>
    <mergeCell ref="B16:C16"/>
    <mergeCell ref="B36:C36"/>
    <mergeCell ref="B14:C15"/>
    <mergeCell ref="H26:K26"/>
    <mergeCell ref="H31:K31"/>
    <mergeCell ref="B31:C31"/>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17:C17"/>
    <mergeCell ref="D16:E16"/>
    <mergeCell ref="D18:E18"/>
    <mergeCell ref="H23:K23"/>
    <mergeCell ref="B20:C20"/>
    <mergeCell ref="B25:C25"/>
    <mergeCell ref="D25:G25"/>
    <mergeCell ref="H25:K25"/>
    <mergeCell ref="B29:C29"/>
    <mergeCell ref="D29:G29"/>
    <mergeCell ref="H29:K29"/>
    <mergeCell ref="B24:C24"/>
    <mergeCell ref="H24:K24"/>
    <mergeCell ref="B28:C28"/>
    <mergeCell ref="A27:K27"/>
  </mergeCells>
  <phoneticPr fontId="11" type="noConversion"/>
  <printOptions horizontalCentered="1" vertic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33</vt:i4>
      </vt:variant>
    </vt:vector>
  </HeadingPairs>
  <TitlesOfParts>
    <vt:vector size="66"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SP1</vt:lpstr>
      <vt:lpstr>SP2</vt:lpstr>
      <vt:lpstr>SP_zam</vt:lpstr>
      <vt:lpstr>SP_stud</vt:lpstr>
      <vt:lpstr>SP_prijem</vt:lpstr>
      <vt:lpstr>VZP</vt:lpstr>
      <vt:lpstr>Ostatní ZP</vt:lpstr>
      <vt:lpstr>Zálohy</vt:lpstr>
      <vt:lpstr>Účetní_závěrka</vt:lpstr>
      <vt:lpstr>Přenos_CSSZ</vt:lpstr>
      <vt:lpstr>CSSZ</vt:lpstr>
      <vt:lpstr>fin_ur</vt:lpstr>
      <vt:lpstr>'1Př1'!Oblast_tisku</vt:lpstr>
      <vt:lpstr>'1Př2'!Oblast_tisku</vt:lpstr>
      <vt:lpstr>'2Př'!Oblast_tisku</vt:lpstr>
      <vt:lpstr>'3Př'!Oblast_tisku</vt:lpstr>
      <vt:lpstr>'3Př_a'!Oblast_tisku</vt:lpstr>
      <vt:lpstr>'4Př'!Oblast_tisku</vt:lpstr>
      <vt:lpstr>'6Př'!Oblast_tisku</vt:lpstr>
      <vt:lpstr>'DAP1'!Oblast_tisku</vt:lpstr>
      <vt:lpstr>'DAP2'!Oblast_tisku</vt:lpstr>
      <vt:lpstr>'DAP3'!Oblast_tisku</vt:lpstr>
      <vt:lpstr>'DAP4'!Oblast_tisku</vt:lpstr>
      <vt:lpstr>'Moje daně'!Oblast_tisku</vt:lpstr>
      <vt:lpstr>'Ostatní ZP'!Oblast_tisku</vt:lpstr>
      <vt:lpstr>Potvr_ZAM!Oblast_tisku</vt:lpstr>
      <vt:lpstr>Prohl_manž!Oblast_tisku</vt:lpstr>
      <vt:lpstr>Př_b!Oblast_tisku</vt:lpstr>
      <vt:lpstr>Přenos_CSSZ!Oblast_tisku</vt:lpstr>
      <vt:lpstr>Příl_děti!Oblast_tisku</vt:lpstr>
      <vt:lpstr>SP_prijem!Oblast_tisku</vt:lpstr>
      <vt:lpstr>SP_stud!Oblast_tisku</vt:lpstr>
      <vt:lpstr>SP_zam!Oblast_tisku</vt:lpstr>
      <vt:lpstr>'SP1'!Oblast_tisku</vt:lpstr>
      <vt:lpstr>'SP2'!Oblast_tisku</vt:lpstr>
      <vt:lpstr>Účetní_závěrka!Oblast_tisku</vt:lpstr>
      <vt:lpstr>UVOD!Oblast_tisku</vt:lpstr>
      <vt:lpstr>VZP!Oblast_tisku</vt:lpstr>
      <vt:lpstr>XML_export!Oblast_tisku</vt:lpstr>
      <vt:lpstr>ZAKL_DATA!Oblast_tisku</vt:lpstr>
      <vt:lpstr>Zálohy!Oblast_tisku</vt:lpstr>
      <vt:lpstr>ZAV!Oblast_tisku</vt:lpstr>
      <vt:lpstr>staty</vt:lpstr>
      <vt:lpstr>Validation_list_OSSZ</vt:lpstr>
    </vt:vector>
  </TitlesOfParts>
  <Company>Aspekt HM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25.2.2002</dc:subject>
  <dc:creator>Martin Štěpán</dc:creator>
  <cp:lastModifiedBy>Martin Štěpán</cp:lastModifiedBy>
  <cp:lastPrinted>2026-01-07T13:16:21Z</cp:lastPrinted>
  <dcterms:created xsi:type="dcterms:W3CDTF">2000-01-30T17:10:20Z</dcterms:created>
  <dcterms:modified xsi:type="dcterms:W3CDTF">2026-03-13T10:02:55Z</dcterms:modified>
</cp:coreProperties>
</file>